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reback/Desktop/"/>
    </mc:Choice>
  </mc:AlternateContent>
  <xr:revisionPtr revIDLastSave="0" documentId="8_{73E2AFBB-6FC3-9C4A-9838-2C67E9EF106D}" xr6:coauthVersionLast="36" xr6:coauthVersionMax="36" xr10:uidLastSave="{00000000-0000-0000-0000-000000000000}"/>
  <bookViews>
    <workbookView xWindow="440" yWindow="600" windowWidth="28020" windowHeight="16020" xr2:uid="{F519DCA1-83C8-4009-8F51-99CAE0DE3F1B}"/>
  </bookViews>
  <sheets>
    <sheet name="Summary_4_ADA" sheetId="1" r:id="rId1"/>
  </sheets>
  <externalReferences>
    <externalReference r:id="rId2"/>
    <externalReference r:id="rId3"/>
  </externalReferences>
  <definedNames>
    <definedName name="_xlnm.Print_Area" localSheetId="0">Summary_4_ADA!$A$1:$L$47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J77" i="1"/>
  <c r="J78" i="1"/>
  <c r="J79" i="1"/>
  <c r="J76" i="1"/>
  <c r="J70" i="1"/>
  <c r="D79" i="1"/>
  <c r="E79" i="1"/>
  <c r="L41" i="1"/>
  <c r="I41" i="1"/>
  <c r="F41" i="1"/>
  <c r="C41" i="1"/>
  <c r="B41" i="1"/>
  <c r="L38" i="1"/>
  <c r="I38" i="1"/>
  <c r="F38" i="1"/>
  <c r="C38" i="1"/>
  <c r="B38" i="1"/>
  <c r="D36" i="1"/>
  <c r="K25" i="1"/>
  <c r="K20" i="1"/>
  <c r="K23" i="1"/>
  <c r="K22" i="1"/>
  <c r="K21" i="1"/>
  <c r="K26" i="1"/>
  <c r="K34" i="1"/>
  <c r="K33" i="1"/>
  <c r="K32" i="1"/>
  <c r="K31" i="1"/>
  <c r="K30" i="1"/>
  <c r="K29" i="1"/>
  <c r="K28" i="1"/>
  <c r="K27" i="1"/>
  <c r="M36" i="1"/>
  <c r="K36" i="1"/>
  <c r="M35" i="1"/>
  <c r="K35" i="1"/>
  <c r="G36" i="1"/>
  <c r="H36" i="1" s="1"/>
  <c r="J36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J8" i="1"/>
  <c r="J9" i="1"/>
  <c r="J10" i="1"/>
  <c r="J11" i="1"/>
  <c r="J7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5" i="1"/>
  <c r="F84" i="1"/>
  <c r="I84" i="1"/>
  <c r="I81" i="1"/>
  <c r="F81" i="1"/>
  <c r="C81" i="1"/>
  <c r="C84" i="1"/>
  <c r="B84" i="1"/>
  <c r="B81" i="1"/>
  <c r="A84" i="1"/>
  <c r="A81" i="1"/>
  <c r="A120" i="1" s="1"/>
  <c r="K78" i="1"/>
  <c r="K77" i="1"/>
  <c r="D78" i="1"/>
  <c r="D77" i="1"/>
  <c r="D35" i="1"/>
  <c r="M33" i="1"/>
  <c r="M32" i="1"/>
  <c r="M30" i="1"/>
  <c r="M29" i="1"/>
  <c r="M28" i="1"/>
  <c r="M26" i="1"/>
  <c r="M25" i="1"/>
  <c r="M24" i="1"/>
  <c r="M21" i="1"/>
  <c r="M20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12" i="1"/>
  <c r="K24" i="1" s="1"/>
  <c r="D34" i="1"/>
  <c r="M31" i="1"/>
  <c r="M27" i="1"/>
  <c r="M23" i="1"/>
  <c r="M22" i="1"/>
  <c r="M34" i="1"/>
  <c r="H35" i="1" l="1"/>
  <c r="H26" i="1"/>
  <c r="J38" i="1"/>
  <c r="J32" i="1"/>
  <c r="J12" i="1"/>
  <c r="J35" i="1"/>
  <c r="J41" i="1"/>
  <c r="L40" i="1"/>
  <c r="M41" i="1"/>
  <c r="L43" i="1"/>
  <c r="K76" i="1" l="1"/>
  <c r="D76" i="1"/>
  <c r="D33" i="1"/>
  <c r="E84" i="1" l="1"/>
  <c r="C85" i="1"/>
  <c r="D81" i="1"/>
  <c r="K75" i="1"/>
  <c r="J75" i="1"/>
  <c r="D75" i="1"/>
  <c r="K74" i="1"/>
  <c r="J74" i="1"/>
  <c r="D74" i="1"/>
  <c r="K73" i="1"/>
  <c r="J73" i="1"/>
  <c r="D73" i="1"/>
  <c r="K72" i="1"/>
  <c r="J72" i="1"/>
  <c r="D72" i="1"/>
  <c r="K71" i="1"/>
  <c r="J71" i="1"/>
  <c r="D71" i="1"/>
  <c r="K70" i="1"/>
  <c r="D70" i="1"/>
  <c r="K69" i="1"/>
  <c r="J69" i="1"/>
  <c r="D69" i="1"/>
  <c r="K68" i="1"/>
  <c r="J68" i="1"/>
  <c r="D68" i="1"/>
  <c r="K67" i="1"/>
  <c r="J67" i="1"/>
  <c r="D67" i="1"/>
  <c r="K66" i="1"/>
  <c r="J66" i="1"/>
  <c r="D66" i="1"/>
  <c r="E78" i="1" s="1"/>
  <c r="K65" i="1"/>
  <c r="J65" i="1"/>
  <c r="D65" i="1"/>
  <c r="K64" i="1"/>
  <c r="J64" i="1"/>
  <c r="D64" i="1"/>
  <c r="E76" i="1" s="1"/>
  <c r="K63" i="1"/>
  <c r="J63" i="1"/>
  <c r="D63" i="1"/>
  <c r="K62" i="1"/>
  <c r="J62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H46" i="1"/>
  <c r="E46" i="1"/>
  <c r="E45" i="1"/>
  <c r="F43" i="1"/>
  <c r="C42" i="1"/>
  <c r="E38" i="1"/>
  <c r="I40" i="1"/>
  <c r="D32" i="1"/>
  <c r="D31" i="1"/>
  <c r="D30" i="1"/>
  <c r="D29" i="1"/>
  <c r="D28" i="1"/>
  <c r="D27" i="1"/>
  <c r="D26" i="1"/>
  <c r="D25" i="1"/>
  <c r="D24" i="1"/>
  <c r="D23" i="1"/>
  <c r="H34" i="1"/>
  <c r="D22" i="1"/>
  <c r="H3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67" i="1" l="1"/>
  <c r="E71" i="1"/>
  <c r="E62" i="1"/>
  <c r="E102" i="1" s="1"/>
  <c r="E70" i="1"/>
  <c r="E74" i="1"/>
  <c r="E65" i="1"/>
  <c r="E77" i="1"/>
  <c r="E66" i="1"/>
  <c r="E68" i="1"/>
  <c r="E72" i="1"/>
  <c r="E75" i="1"/>
  <c r="E64" i="1"/>
  <c r="E69" i="1"/>
  <c r="E73" i="1"/>
  <c r="H22" i="1"/>
  <c r="H29" i="1"/>
  <c r="I85" i="1"/>
  <c r="H81" i="1"/>
  <c r="E81" i="1"/>
  <c r="E63" i="1"/>
  <c r="B85" i="1"/>
  <c r="I46" i="1"/>
  <c r="H24" i="1"/>
  <c r="H28" i="1"/>
  <c r="H21" i="1"/>
  <c r="H27" i="1"/>
  <c r="H31" i="1"/>
  <c r="H30" i="1"/>
  <c r="I43" i="1"/>
  <c r="B42" i="1"/>
  <c r="H32" i="1"/>
  <c r="H23" i="1"/>
  <c r="H25" i="1"/>
  <c r="H20" i="1"/>
  <c r="F45" i="1"/>
  <c r="G38" i="1"/>
  <c r="G41" i="1"/>
  <c r="E44" i="1"/>
  <c r="F42" i="1" s="1"/>
  <c r="H84" i="1"/>
  <c r="E39" i="1"/>
  <c r="F39" i="1" s="1"/>
  <c r="D38" i="1"/>
  <c r="F40" i="1"/>
  <c r="D41" i="1"/>
  <c r="F46" i="1"/>
  <c r="F83" i="1"/>
  <c r="D84" i="1"/>
  <c r="D85" i="1" s="1"/>
  <c r="F85" i="1"/>
  <c r="I83" i="1"/>
  <c r="E103" i="1" l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H42" i="1"/>
  <c r="L42" i="1"/>
  <c r="H41" i="1"/>
  <c r="F44" i="1"/>
  <c r="K41" i="1"/>
  <c r="E41" i="1"/>
  <c r="F47" i="1"/>
  <c r="I42" i="1"/>
  <c r="I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Donlevy</author>
  </authors>
  <commentList>
    <comment ref="A86" authorId="0" shapeId="0" xr:uid="{65C6236D-2DE5-4E4D-98D0-5E32A93F1E1A}">
      <text>
        <r>
          <rPr>
            <b/>
            <sz val="9"/>
            <color indexed="81"/>
            <rFont val="Tahoma"/>
            <family val="2"/>
          </rPr>
          <t>Jeff Donlevy:</t>
        </r>
        <r>
          <rPr>
            <sz val="9"/>
            <color indexed="81"/>
            <rFont val="Tahoma"/>
            <family val="2"/>
          </rPr>
          <t xml:space="preserve">
Per Adam Tauber, every 1% inc/dec in sales results in a $13 mil change in fund.
Every 1% change in redemtion results in $12 mil change in fund
</t>
        </r>
      </text>
    </comment>
  </commentList>
</comments>
</file>

<file path=xl/sharedStrings.xml><?xml version="1.0" encoding="utf-8"?>
<sst xmlns="http://schemas.openxmlformats.org/spreadsheetml/2006/main" count="69" uniqueCount="34">
  <si>
    <t>California Department of Resources Recycling and Recovery (CalRecycle)</t>
  </si>
  <si>
    <t>Beverage Container Recycling Program Monthly Volume Report</t>
  </si>
  <si>
    <t>Table 1: Sales and Returns in Containers by Program Type</t>
  </si>
  <si>
    <t>MONTH</t>
  </si>
  <si>
    <t>TOTAL SALES (CONTAINERS)</t>
  </si>
  <si>
    <t>TOTAL RETURNS (CONTAINERS)        RC + CS + CP/SP</t>
  </si>
  <si>
    <t>Recyling Rate</t>
  </si>
  <si>
    <t>+/- Prior</t>
  </si>
  <si>
    <t>RC RETURNS (CONTAINERS)</t>
  </si>
  <si>
    <t>Redemption Rate</t>
  </si>
  <si>
    <t>CS RETURNS (CONTAINERS)</t>
  </si>
  <si>
    <t>Prior 12 Mo Inc/dec</t>
  </si>
  <si>
    <t>CP/SP RETURNS (CONTAINERS)</t>
  </si>
  <si>
    <t>% Of CRV Cts</t>
  </si>
  <si>
    <t>Scrap Rev</t>
  </si>
  <si>
    <t>Proc &amp; Admin</t>
  </si>
  <si>
    <t>Lost Rev FY 18/19 v FY 19/20</t>
  </si>
  <si>
    <t>Added Rev FY 18/19 v FY 19/20</t>
  </si>
  <si>
    <t>Table 2: CRVIN and CRVOUT by Program Type</t>
  </si>
  <si>
    <t>TOTAL CRVIN</t>
  </si>
  <si>
    <t>TOTAL CRVOUT         RC + CS + CP/SP</t>
  </si>
  <si>
    <t>In vs. Out</t>
  </si>
  <si>
    <t>RC CRVOUT</t>
  </si>
  <si>
    <t>CS CRVOUT</t>
  </si>
  <si>
    <t>CP/SP CRVOUT</t>
  </si>
  <si>
    <t xml:space="preserve"> </t>
  </si>
  <si>
    <t>Per Container</t>
  </si>
  <si>
    <t>This report is updated monthly showing data for the most recent 24 months.</t>
  </si>
  <si>
    <t>Data reflects volumes reported to date and is subject to change, especially for the most recent months shown in this report.</t>
  </si>
  <si>
    <t xml:space="preserve">CRVin is the net redemption fees paid by beverage distributors which includes the 1.5% deduction for administrative fees.  </t>
  </si>
  <si>
    <t>CRVout is the sum of refund value and the 0.75% administrative fee paid to certified recycling programs.</t>
  </si>
  <si>
    <t>Certified Recycling Programs: RC-Recycling Center CS-Curbside Program CP-Dropoff or Collection Program SP-Community Service Program</t>
  </si>
  <si>
    <t>1/19 - 12/19</t>
  </si>
  <si>
    <t>1/20- 12/20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</si>
</sst>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0" borderId="0"/>
  </cellStyleXfs>
  <cellXfs count="94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14" fontId="4" fillId="2" borderId="1" xfId="4" applyNumberFormat="1" applyFont="1" applyFill="1" applyBorder="1" applyAlignment="1">
      <alignment horizontal="center" vertical="center" wrapText="1"/>
    </xf>
    <xf numFmtId="14" fontId="4" fillId="2" borderId="2" xfId="4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6" fillId="0" borderId="8" xfId="4" applyNumberFormat="1" applyFont="1" applyBorder="1" applyAlignment="1">
      <alignment horizontal="center"/>
    </xf>
    <xf numFmtId="164" fontId="2" fillId="0" borderId="9" xfId="1" applyNumberFormat="1" applyFont="1" applyBorder="1"/>
    <xf numFmtId="164" fontId="2" fillId="0" borderId="8" xfId="0" applyNumberFormat="1" applyFont="1" applyBorder="1"/>
    <xf numFmtId="9" fontId="2" fillId="0" borderId="10" xfId="3" applyFont="1" applyBorder="1"/>
    <xf numFmtId="164" fontId="2" fillId="0" borderId="10" xfId="0" applyNumberFormat="1" applyFont="1" applyBorder="1"/>
    <xf numFmtId="164" fontId="2" fillId="0" borderId="11" xfId="1" applyNumberFormat="1" applyFont="1" applyBorder="1"/>
    <xf numFmtId="9" fontId="2" fillId="0" borderId="11" xfId="3" applyFont="1" applyBorder="1"/>
    <xf numFmtId="164" fontId="2" fillId="0" borderId="12" xfId="1" applyNumberFormat="1" applyFont="1" applyBorder="1"/>
    <xf numFmtId="9" fontId="2" fillId="0" borderId="13" xfId="3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9" fontId="2" fillId="4" borderId="11" xfId="3" applyFont="1" applyFill="1" applyBorder="1"/>
    <xf numFmtId="9" fontId="2" fillId="4" borderId="13" xfId="3" applyFont="1" applyFill="1" applyBorder="1"/>
    <xf numFmtId="9" fontId="7" fillId="0" borderId="11" xfId="3" applyFont="1" applyBorder="1"/>
    <xf numFmtId="9" fontId="2" fillId="5" borderId="13" xfId="3" applyFont="1" applyFill="1" applyBorder="1"/>
    <xf numFmtId="14" fontId="6" fillId="0" borderId="15" xfId="4" applyNumberFormat="1" applyFont="1" applyBorder="1" applyAlignment="1">
      <alignment horizontal="center"/>
    </xf>
    <xf numFmtId="0" fontId="2" fillId="6" borderId="0" xfId="0" applyFont="1" applyFill="1"/>
    <xf numFmtId="164" fontId="2" fillId="3" borderId="0" xfId="0" applyNumberFormat="1" applyFont="1" applyFill="1"/>
    <xf numFmtId="10" fontId="2" fillId="3" borderId="0" xfId="3" applyNumberFormat="1" applyFont="1" applyFill="1"/>
    <xf numFmtId="166" fontId="2" fillId="3" borderId="0" xfId="2" applyNumberFormat="1" applyFont="1" applyFill="1"/>
    <xf numFmtId="9" fontId="5" fillId="3" borderId="0" xfId="3" applyFont="1" applyFill="1" applyBorder="1"/>
    <xf numFmtId="0" fontId="2" fillId="3" borderId="0" xfId="0" applyFont="1" applyFill="1"/>
    <xf numFmtId="167" fontId="5" fillId="3" borderId="0" xfId="3" applyNumberFormat="1" applyFont="1" applyFill="1" applyBorder="1"/>
    <xf numFmtId="164" fontId="2" fillId="7" borderId="0" xfId="1" applyNumberFormat="1" applyFont="1" applyFill="1" applyAlignment="1">
      <alignment horizontal="right"/>
    </xf>
    <xf numFmtId="9" fontId="2" fillId="7" borderId="0" xfId="3" applyFont="1" applyFill="1"/>
    <xf numFmtId="9" fontId="5" fillId="7" borderId="0" xfId="3" applyFont="1" applyFill="1" applyBorder="1"/>
    <xf numFmtId="0" fontId="2" fillId="7" borderId="0" xfId="0" applyFont="1" applyFill="1"/>
    <xf numFmtId="10" fontId="8" fillId="3" borderId="0" xfId="3" applyNumberFormat="1" applyFont="1" applyFill="1"/>
    <xf numFmtId="167" fontId="8" fillId="3" borderId="0" xfId="0" applyNumberFormat="1" applyFont="1" applyFill="1"/>
    <xf numFmtId="9" fontId="8" fillId="3" borderId="0" xfId="0" applyNumberFormat="1" applyFont="1" applyFill="1"/>
    <xf numFmtId="167" fontId="2" fillId="3" borderId="0" xfId="0" applyNumberFormat="1" applyFont="1" applyFill="1"/>
    <xf numFmtId="164" fontId="2" fillId="3" borderId="0" xfId="1" applyNumberFormat="1" applyFont="1" applyFill="1"/>
    <xf numFmtId="165" fontId="2" fillId="3" borderId="0" xfId="2" applyNumberFormat="1" applyFont="1" applyFill="1"/>
    <xf numFmtId="9" fontId="2" fillId="3" borderId="0" xfId="0" applyNumberFormat="1" applyFont="1" applyFill="1"/>
    <xf numFmtId="9" fontId="2" fillId="7" borderId="0" xfId="0" applyNumberFormat="1" applyFont="1" applyFill="1"/>
    <xf numFmtId="166" fontId="2" fillId="7" borderId="0" xfId="2" applyNumberFormat="1" applyFont="1" applyFill="1"/>
    <xf numFmtId="164" fontId="2" fillId="3" borderId="0" xfId="1" applyNumberFormat="1" applyFont="1" applyFill="1" applyAlignment="1">
      <alignment horizontal="right"/>
    </xf>
    <xf numFmtId="168" fontId="2" fillId="3" borderId="0" xfId="1" applyNumberFormat="1" applyFont="1" applyFill="1" applyAlignment="1">
      <alignment horizontal="right"/>
    </xf>
    <xf numFmtId="165" fontId="5" fillId="3" borderId="4" xfId="2" applyNumberFormat="1" applyFont="1" applyFill="1" applyBorder="1" applyAlignment="1">
      <alignment horizontal="center" vertical="center" wrapText="1"/>
    </xf>
    <xf numFmtId="165" fontId="5" fillId="3" borderId="5" xfId="2" applyNumberFormat="1" applyFont="1" applyFill="1" applyBorder="1" applyAlignment="1">
      <alignment horizontal="center" vertical="center" wrapText="1"/>
    </xf>
    <xf numFmtId="165" fontId="5" fillId="3" borderId="6" xfId="2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5" fontId="2" fillId="0" borderId="8" xfId="2" applyNumberFormat="1" applyFont="1" applyBorder="1"/>
    <xf numFmtId="165" fontId="2" fillId="0" borderId="8" xfId="0" applyNumberFormat="1" applyFont="1" applyBorder="1"/>
    <xf numFmtId="165" fontId="2" fillId="0" borderId="10" xfId="0" applyNumberFormat="1" applyFont="1" applyBorder="1"/>
    <xf numFmtId="165" fontId="2" fillId="0" borderId="11" xfId="2" applyNumberFormat="1" applyFont="1" applyBorder="1"/>
    <xf numFmtId="165" fontId="2" fillId="0" borderId="12" xfId="2" applyNumberFormat="1" applyFont="1" applyBorder="1"/>
    <xf numFmtId="165" fontId="2" fillId="0" borderId="13" xfId="2" applyNumberFormat="1" applyFont="1" applyBorder="1"/>
    <xf numFmtId="165" fontId="2" fillId="0" borderId="14" xfId="2" applyNumberFormat="1" applyFont="1" applyBorder="1"/>
    <xf numFmtId="165" fontId="2" fillId="0" borderId="16" xfId="2" applyNumberFormat="1" applyFont="1" applyBorder="1"/>
    <xf numFmtId="9" fontId="2" fillId="8" borderId="12" xfId="3" applyFont="1" applyFill="1" applyBorder="1"/>
    <xf numFmtId="9" fontId="2" fillId="4" borderId="12" xfId="3" applyFont="1" applyFill="1" applyBorder="1"/>
    <xf numFmtId="9" fontId="5" fillId="4" borderId="12" xfId="3" applyFont="1" applyFill="1" applyBorder="1"/>
    <xf numFmtId="9" fontId="2" fillId="0" borderId="12" xfId="3" applyFont="1" applyBorder="1"/>
    <xf numFmtId="9" fontId="5" fillId="5" borderId="12" xfId="3" applyFont="1" applyFill="1" applyBorder="1"/>
    <xf numFmtId="9" fontId="2" fillId="5" borderId="12" xfId="3" applyFont="1" applyFill="1" applyBorder="1"/>
    <xf numFmtId="165" fontId="2" fillId="3" borderId="0" xfId="0" applyNumberFormat="1" applyFont="1" applyFill="1"/>
    <xf numFmtId="164" fontId="5" fillId="3" borderId="0" xfId="1" applyNumberFormat="1" applyFont="1" applyFill="1"/>
    <xf numFmtId="169" fontId="2" fillId="3" borderId="0" xfId="0" applyNumberFormat="1" applyFont="1" applyFill="1"/>
    <xf numFmtId="165" fontId="2" fillId="0" borderId="0" xfId="2" applyNumberFormat="1" applyFont="1" applyBorder="1"/>
    <xf numFmtId="9" fontId="2" fillId="0" borderId="18" xfId="3" applyFont="1" applyBorder="1"/>
    <xf numFmtId="165" fontId="5" fillId="3" borderId="17" xfId="2" applyNumberFormat="1" applyFont="1" applyFill="1" applyBorder="1" applyAlignment="1">
      <alignment horizontal="center" vertical="center" wrapText="1"/>
    </xf>
    <xf numFmtId="167" fontId="2" fillId="0" borderId="0" xfId="0" applyNumberFormat="1" applyFont="1"/>
    <xf numFmtId="14" fontId="6" fillId="0" borderId="19" xfId="4" applyNumberFormat="1" applyFont="1" applyBorder="1" applyAlignment="1">
      <alignment horizontal="center"/>
    </xf>
    <xf numFmtId="10" fontId="2" fillId="0" borderId="10" xfId="3" applyNumberFormat="1" applyFont="1" applyBorder="1"/>
    <xf numFmtId="167" fontId="2" fillId="0" borderId="11" xfId="3" applyNumberFormat="1" applyFont="1" applyBorder="1"/>
    <xf numFmtId="170" fontId="6" fillId="0" borderId="8" xfId="4" applyNumberFormat="1" applyFont="1" applyBorder="1" applyAlignment="1">
      <alignment horizontal="center"/>
    </xf>
    <xf numFmtId="170" fontId="6" fillId="0" borderId="19" xfId="4" applyNumberFormat="1" applyFont="1" applyBorder="1" applyAlignment="1">
      <alignment horizontal="center"/>
    </xf>
    <xf numFmtId="14" fontId="2" fillId="0" borderId="0" xfId="0" applyNumberFormat="1" applyFont="1"/>
    <xf numFmtId="170" fontId="2" fillId="0" borderId="0" xfId="0" applyNumberFormat="1" applyFont="1"/>
    <xf numFmtId="164" fontId="2" fillId="0" borderId="20" xfId="1" applyNumberFormat="1" applyFont="1" applyBorder="1"/>
    <xf numFmtId="164" fontId="2" fillId="0" borderId="15" xfId="0" applyNumberFormat="1" applyFont="1" applyBorder="1"/>
    <xf numFmtId="164" fontId="2" fillId="0" borderId="21" xfId="1" applyNumberFormat="1" applyFont="1" applyBorder="1"/>
    <xf numFmtId="164" fontId="2" fillId="0" borderId="22" xfId="1" applyNumberFormat="1" applyFont="1" applyBorder="1"/>
    <xf numFmtId="164" fontId="2" fillId="0" borderId="23" xfId="1" applyNumberFormat="1" applyFont="1" applyBorder="1"/>
    <xf numFmtId="165" fontId="2" fillId="0" borderId="15" xfId="2" applyNumberFormat="1" applyFont="1" applyBorder="1"/>
    <xf numFmtId="165" fontId="2" fillId="0" borderId="15" xfId="0" applyNumberFormat="1" applyFont="1" applyBorder="1"/>
    <xf numFmtId="165" fontId="2" fillId="0" borderId="21" xfId="2" applyNumberFormat="1" applyFont="1" applyBorder="1"/>
    <xf numFmtId="165" fontId="2" fillId="0" borderId="22" xfId="2" applyNumberFormat="1" applyFont="1" applyBorder="1"/>
    <xf numFmtId="165" fontId="2" fillId="0" borderId="23" xfId="2" applyNumberFormat="1" applyFont="1" applyBorder="1"/>
  </cellXfs>
  <cellStyles count="6">
    <cellStyle name="Comma" xfId="1" builtinId="3"/>
    <cellStyle name="Currency" xfId="2" builtinId="4"/>
    <cellStyle name="Normal" xfId="0" builtinId="0"/>
    <cellStyle name="Normal 2" xfId="5" xr:uid="{E6345411-6616-40FC-B371-1918B72B6E86}"/>
    <cellStyle name="Normal_Sheet1 2" xfId="4" xr:uid="{171C4CF6-DEFD-4B7B-9249-2A5D9AD6C5B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Redemption</a:t>
            </a:r>
            <a:r>
              <a:rPr lang="en-US" sz="1600" b="1" baseline="0"/>
              <a:t> Rate</a:t>
            </a:r>
          </a:p>
          <a:p>
            <a:pPr>
              <a:defRPr/>
            </a:pPr>
            <a:r>
              <a:rPr lang="en-US" sz="1600" b="1" baseline="0"/>
              <a:t>Dec 2019 - Nov 2020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Summary_4_ADA!$A$24:$A$35</c:f>
              <c:numCache>
                <c:formatCode>[$-409]mmm\-yy;@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</c:numRef>
          </c:xVal>
          <c:yVal>
            <c:numRef>
              <c:f>Summary_4_ADA!$G$24:$G$35</c:f>
              <c:numCache>
                <c:formatCode>0.0%</c:formatCode>
                <c:ptCount val="12"/>
                <c:pt idx="0">
                  <c:v>0.67518922637700751</c:v>
                </c:pt>
                <c:pt idx="1">
                  <c:v>0.68520001775760109</c:v>
                </c:pt>
                <c:pt idx="2">
                  <c:v>0.69244563856667163</c:v>
                </c:pt>
                <c:pt idx="3">
                  <c:v>0.39110413959564855</c:v>
                </c:pt>
                <c:pt idx="4">
                  <c:v>0.4365564689023434</c:v>
                </c:pt>
                <c:pt idx="5">
                  <c:v>0.59578610911326757</c:v>
                </c:pt>
                <c:pt idx="6">
                  <c:v>0.63435748686776594</c:v>
                </c:pt>
                <c:pt idx="7">
                  <c:v>0.58097820698930092</c:v>
                </c:pt>
                <c:pt idx="8">
                  <c:v>0.60984165953100611</c:v>
                </c:pt>
                <c:pt idx="9">
                  <c:v>0.5968985593872802</c:v>
                </c:pt>
                <c:pt idx="10">
                  <c:v>0.60686179700429066</c:v>
                </c:pt>
                <c:pt idx="11">
                  <c:v>0.60225779523238465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46-44D6-A7DD-BBCE2EAC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924688"/>
        <c:axId val="599921080"/>
      </c:scatterChart>
      <c:valAx>
        <c:axId val="59992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921080"/>
        <c:crosses val="autoZero"/>
        <c:crossBetween val="midCat"/>
      </c:valAx>
      <c:valAx>
        <c:axId val="59992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92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Increase</a:t>
            </a:r>
            <a:r>
              <a:rPr lang="en-US" b="1" baseline="0"/>
              <a:t> in Cash </a:t>
            </a:r>
            <a:r>
              <a:rPr lang="en-US" baseline="0"/>
              <a:t>Balance - </a:t>
            </a:r>
            <a:r>
              <a:rPr lang="en-US" b="1" baseline="0"/>
              <a:t>Unredeemed Deposits </a:t>
            </a:r>
          </a:p>
          <a:p>
            <a:pPr>
              <a:defRPr/>
            </a:pPr>
            <a:r>
              <a:rPr lang="en-US" baseline="0"/>
              <a:t>Beverage Container Recycling Fund</a:t>
            </a:r>
          </a:p>
          <a:p>
            <a:pPr>
              <a:defRPr/>
            </a:pPr>
            <a:r>
              <a:rPr lang="en-US" baseline="0"/>
              <a:t>Aug 2019 - Nov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Summary_4_ADA!$A$102:$A$118</c:f>
              <c:numCache>
                <c:formatCode>[$-409]mmm\-yy;@</c:formatCode>
                <c:ptCount val="17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44137</c:v>
                </c:pt>
              </c:numCache>
            </c:numRef>
          </c:cat>
          <c:val>
            <c:numRef>
              <c:f>Summary_4_ADA!$E$102:$E$118</c:f>
              <c:numCache>
                <c:formatCode>_("$"* #,##0_);_("$"* \(#,##0\);_("$"* "-"??_);_(@_)</c:formatCode>
                <c:ptCount val="17"/>
                <c:pt idx="0">
                  <c:v>2170094.4899999946</c:v>
                </c:pt>
                <c:pt idx="1">
                  <c:v>1969257.1400000006</c:v>
                </c:pt>
                <c:pt idx="2">
                  <c:v>7811589.9699999988</c:v>
                </c:pt>
                <c:pt idx="3">
                  <c:v>10424190.410000011</c:v>
                </c:pt>
                <c:pt idx="4">
                  <c:v>11947091.140000001</c:v>
                </c:pt>
                <c:pt idx="5">
                  <c:v>16210833.379999995</c:v>
                </c:pt>
                <c:pt idx="6">
                  <c:v>17721684.939999998</c:v>
                </c:pt>
                <c:pt idx="7">
                  <c:v>18907125.579999998</c:v>
                </c:pt>
                <c:pt idx="8">
                  <c:v>67985835.099999994</c:v>
                </c:pt>
                <c:pt idx="9">
                  <c:v>88730443.189999998</c:v>
                </c:pt>
                <c:pt idx="10">
                  <c:v>97859964.819999993</c:v>
                </c:pt>
                <c:pt idx="11">
                  <c:v>107336138.92999999</c:v>
                </c:pt>
                <c:pt idx="12">
                  <c:v>113444204.23999998</c:v>
                </c:pt>
                <c:pt idx="13">
                  <c:v>118180201.21999997</c:v>
                </c:pt>
                <c:pt idx="14">
                  <c:v>125073387.35999997</c:v>
                </c:pt>
                <c:pt idx="15">
                  <c:v>131231399.61999997</c:v>
                </c:pt>
                <c:pt idx="16">
                  <c:v>138890777.39999998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6D-473F-8226-6BBC8099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491512"/>
        <c:axId val="531493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Summary_4_ADA!$A$102:$A$118</c15:sqref>
                        </c15:formulaRef>
                      </c:ext>
                    </c:extLst>
                    <c:numCache>
                      <c:formatCode>[$-409]mmm\-yy;@</c:formatCode>
                      <c:ptCount val="17"/>
                      <c:pt idx="0">
                        <c:v>43647</c:v>
                      </c:pt>
                      <c:pt idx="1">
                        <c:v>43678</c:v>
                      </c:pt>
                      <c:pt idx="2">
                        <c:v>43709</c:v>
                      </c:pt>
                      <c:pt idx="3">
                        <c:v>43739</c:v>
                      </c:pt>
                      <c:pt idx="4">
                        <c:v>43770</c:v>
                      </c:pt>
                      <c:pt idx="5">
                        <c:v>43800</c:v>
                      </c:pt>
                      <c:pt idx="6">
                        <c:v>43831</c:v>
                      </c:pt>
                      <c:pt idx="7">
                        <c:v>43862</c:v>
                      </c:pt>
                      <c:pt idx="8">
                        <c:v>43891</c:v>
                      </c:pt>
                      <c:pt idx="9">
                        <c:v>43922</c:v>
                      </c:pt>
                      <c:pt idx="10">
                        <c:v>43952</c:v>
                      </c:pt>
                      <c:pt idx="11">
                        <c:v>43983</c:v>
                      </c:pt>
                      <c:pt idx="12">
                        <c:v>44013</c:v>
                      </c:pt>
                      <c:pt idx="13">
                        <c:v>44044</c:v>
                      </c:pt>
                      <c:pt idx="14">
                        <c:v>44075</c:v>
                      </c:pt>
                      <c:pt idx="15">
                        <c:v>44105</c:v>
                      </c:pt>
                      <c:pt idx="16">
                        <c:v>44137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Summary_4_ADA!$B$102:$B$118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E6D-473F-8226-6BBC80990E78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Summary_4_ADA!$A$102:$A$118</c15:sqref>
                        </c15:formulaRef>
                      </c:ext>
                    </c:extLst>
                    <c:numCache>
                      <c:formatCode>[$-409]mmm\-yy;@</c:formatCode>
                      <c:ptCount val="17"/>
                      <c:pt idx="0">
                        <c:v>43647</c:v>
                      </c:pt>
                      <c:pt idx="1">
                        <c:v>43678</c:v>
                      </c:pt>
                      <c:pt idx="2">
                        <c:v>43709</c:v>
                      </c:pt>
                      <c:pt idx="3">
                        <c:v>43739</c:v>
                      </c:pt>
                      <c:pt idx="4">
                        <c:v>43770</c:v>
                      </c:pt>
                      <c:pt idx="5">
                        <c:v>43800</c:v>
                      </c:pt>
                      <c:pt idx="6">
                        <c:v>43831</c:v>
                      </c:pt>
                      <c:pt idx="7">
                        <c:v>43862</c:v>
                      </c:pt>
                      <c:pt idx="8">
                        <c:v>43891</c:v>
                      </c:pt>
                      <c:pt idx="9">
                        <c:v>43922</c:v>
                      </c:pt>
                      <c:pt idx="10">
                        <c:v>43952</c:v>
                      </c:pt>
                      <c:pt idx="11">
                        <c:v>43983</c:v>
                      </c:pt>
                      <c:pt idx="12">
                        <c:v>44013</c:v>
                      </c:pt>
                      <c:pt idx="13">
                        <c:v>44044</c:v>
                      </c:pt>
                      <c:pt idx="14">
                        <c:v>44075</c:v>
                      </c:pt>
                      <c:pt idx="15">
                        <c:v>44105</c:v>
                      </c:pt>
                      <c:pt idx="16">
                        <c:v>44137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Summary_4_ADA!$C$102:$C$118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E6D-473F-8226-6BBC80990E7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Summary_4_ADA!$A$102:$A$118</c15:sqref>
                        </c15:formulaRef>
                      </c:ext>
                    </c:extLst>
                    <c:numCache>
                      <c:formatCode>[$-409]mmm\-yy;@</c:formatCode>
                      <c:ptCount val="17"/>
                      <c:pt idx="0">
                        <c:v>43647</c:v>
                      </c:pt>
                      <c:pt idx="1">
                        <c:v>43678</c:v>
                      </c:pt>
                      <c:pt idx="2">
                        <c:v>43709</c:v>
                      </c:pt>
                      <c:pt idx="3">
                        <c:v>43739</c:v>
                      </c:pt>
                      <c:pt idx="4">
                        <c:v>43770</c:v>
                      </c:pt>
                      <c:pt idx="5">
                        <c:v>43800</c:v>
                      </c:pt>
                      <c:pt idx="6">
                        <c:v>43831</c:v>
                      </c:pt>
                      <c:pt idx="7">
                        <c:v>43862</c:v>
                      </c:pt>
                      <c:pt idx="8">
                        <c:v>43891</c:v>
                      </c:pt>
                      <c:pt idx="9">
                        <c:v>43922</c:v>
                      </c:pt>
                      <c:pt idx="10">
                        <c:v>43952</c:v>
                      </c:pt>
                      <c:pt idx="11">
                        <c:v>43983</c:v>
                      </c:pt>
                      <c:pt idx="12">
                        <c:v>44013</c:v>
                      </c:pt>
                      <c:pt idx="13">
                        <c:v>44044</c:v>
                      </c:pt>
                      <c:pt idx="14">
                        <c:v>44075</c:v>
                      </c:pt>
                      <c:pt idx="15">
                        <c:v>44105</c:v>
                      </c:pt>
                      <c:pt idx="16">
                        <c:v>44137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Summary_4_ADA!$D$102:$D$118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E6D-473F-8226-6BBC80990E78}"/>
                  </c:ext>
                </c:extLst>
              </c15:ser>
            </c15:filteredBarSeries>
          </c:ext>
        </c:extLst>
      </c:barChart>
      <c:dateAx>
        <c:axId val="5314915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93808"/>
        <c:crosses val="autoZero"/>
        <c:auto val="1"/>
        <c:lblOffset val="100"/>
        <c:baseTimeUnit val="months"/>
      </c:dateAx>
      <c:valAx>
        <c:axId val="53149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9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21</xdr:row>
      <xdr:rowOff>79375</xdr:rowOff>
    </xdr:from>
    <xdr:to>
      <xdr:col>18</xdr:col>
      <xdr:colOff>215900</xdr:colOff>
      <xdr:row>36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1FB648-9105-45ED-A66E-37A327BB4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514356</xdr:colOff>
      <xdr:row>102</xdr:row>
      <xdr:rowOff>3175</xdr:rowOff>
    </xdr:from>
    <xdr:to>
      <xdr:col>8</xdr:col>
      <xdr:colOff>508006</xdr:colOff>
      <xdr:row>115</xdr:row>
      <xdr:rowOff>187325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582773-DEE1-4808-B22C-A247F767C3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eff.Donlevy/Downloads/2021Jan27BCRPMonthlyVolRptNO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CRV/2020AugBCRPMonthlyVolumeReport%20J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</sheetNames>
    <sheetDataSet>
      <sheetData sheetId="0">
        <row r="2">
          <cell r="E2">
            <v>140945896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Increase"/>
      <sheetName val="Table 1"/>
      <sheetName val="Rev Calcs"/>
      <sheetName val="Summary June"/>
      <sheetName val="Summary July 2020"/>
      <sheetName val="Summary Aug 2020 (2)"/>
      <sheetName val="Summary Sept 2020"/>
      <sheetName val="Summary_4_ADA JD"/>
    </sheetNames>
    <sheetDataSet>
      <sheetData sheetId="0"/>
      <sheetData sheetId="1"/>
      <sheetData sheetId="2">
        <row r="15">
          <cell r="AL15">
            <v>8.5586305282712664E-3</v>
          </cell>
          <cell r="AM15">
            <v>6.883227316808389E-3</v>
          </cell>
          <cell r="AR15">
            <v>9.755553007596009E-3</v>
          </cell>
          <cell r="AS15">
            <v>7.8186555144832866E-3</v>
          </cell>
        </row>
      </sheetData>
      <sheetData sheetId="3"/>
      <sheetData sheetId="4"/>
      <sheetData sheetId="5"/>
      <sheetData sheetId="6"/>
      <sheetData sheetId="7">
        <row r="37">
          <cell r="F37">
            <v>0.87977989742938956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413C-E266-402D-A61F-5A8F45E90DDE}">
  <sheetPr>
    <pageSetUpPr fitToPage="1"/>
  </sheetPr>
  <dimension ref="A1:O120"/>
  <sheetViews>
    <sheetView tabSelected="1" topLeftCell="A4" workbookViewId="0">
      <pane xSplit="1" topLeftCell="B1" activePane="topRight" state="frozen"/>
      <selection activeCell="A6" sqref="A6"/>
      <selection pane="topRight" activeCell="C15" sqref="C15"/>
    </sheetView>
  </sheetViews>
  <sheetFormatPr baseColWidth="10" defaultColWidth="9.1640625" defaultRowHeight="16" x14ac:dyDescent="0.2"/>
  <cols>
    <col min="1" max="1" width="16.83203125" style="1" customWidth="1"/>
    <col min="2" max="2" width="23.83203125" style="1" customWidth="1"/>
    <col min="3" max="3" width="23.83203125" style="2" customWidth="1"/>
    <col min="4" max="4" width="18.1640625" style="2" customWidth="1"/>
    <col min="5" max="5" width="16.33203125" style="2" customWidth="1"/>
    <col min="6" max="7" width="23.83203125" style="1" customWidth="1"/>
    <col min="8" max="8" width="17.83203125" style="1" customWidth="1"/>
    <col min="9" max="9" width="23.83203125" style="1" customWidth="1"/>
    <col min="10" max="10" width="15" style="1" customWidth="1"/>
    <col min="11" max="11" width="15.1640625" style="1" customWidth="1"/>
    <col min="12" max="12" width="20.83203125" style="1" customWidth="1"/>
    <col min="13" max="13" width="8.83203125" style="1" customWidth="1"/>
    <col min="14" max="15" width="18" style="3" customWidth="1"/>
    <col min="16" max="17" width="18" style="1" customWidth="1"/>
    <col min="18" max="16384" width="9.1640625" style="1"/>
  </cols>
  <sheetData>
    <row r="1" spans="1:15" x14ac:dyDescent="0.2">
      <c r="A1" s="1" t="s">
        <v>0</v>
      </c>
    </row>
    <row r="2" spans="1:15" x14ac:dyDescent="0.2">
      <c r="A2" s="1" t="s">
        <v>1</v>
      </c>
    </row>
    <row r="3" spans="1:15" ht="4.75" customHeight="1" x14ac:dyDescent="0.2"/>
    <row r="4" spans="1:15" ht="4.75" customHeight="1" x14ac:dyDescent="0.2"/>
    <row r="5" spans="1:15" ht="17" thickBot="1" x14ac:dyDescent="0.25">
      <c r="A5" s="1" t="s">
        <v>2</v>
      </c>
      <c r="N5" s="1"/>
      <c r="O5" s="1"/>
    </row>
    <row r="6" spans="1:15" s="13" customFormat="1" ht="52" thickTop="1" x14ac:dyDescent="0.2">
      <c r="A6" s="4" t="s">
        <v>3</v>
      </c>
      <c r="B6" s="5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7" t="s">
        <v>9</v>
      </c>
      <c r="H6" s="8" t="s">
        <v>7</v>
      </c>
      <c r="I6" s="10" t="s">
        <v>10</v>
      </c>
      <c r="J6" s="11"/>
      <c r="K6" s="11" t="s">
        <v>11</v>
      </c>
      <c r="L6" s="12" t="s">
        <v>12</v>
      </c>
    </row>
    <row r="7" spans="1:15" x14ac:dyDescent="0.2">
      <c r="A7" s="14">
        <v>43282</v>
      </c>
      <c r="B7" s="15">
        <v>2284234500</v>
      </c>
      <c r="C7" s="16">
        <v>1682211544.4569991</v>
      </c>
      <c r="D7" s="17">
        <f>+C7/B7</f>
        <v>0.7364443293615428</v>
      </c>
      <c r="E7" s="18"/>
      <c r="F7" s="19">
        <v>1488322652.1169991</v>
      </c>
      <c r="G7" s="20">
        <f t="shared" ref="G7:G34" si="0">F7/B7</f>
        <v>0.65156298625075448</v>
      </c>
      <c r="H7" s="19"/>
      <c r="I7" s="21">
        <v>148184667.17899999</v>
      </c>
      <c r="J7" s="22">
        <f>+I7/B7</f>
        <v>6.4872790941122721E-2</v>
      </c>
      <c r="K7" s="23"/>
      <c r="L7" s="24">
        <v>45704225.161000006</v>
      </c>
      <c r="N7" s="1"/>
      <c r="O7" s="1"/>
    </row>
    <row r="8" spans="1:15" x14ac:dyDescent="0.2">
      <c r="A8" s="14">
        <v>43313</v>
      </c>
      <c r="B8" s="15">
        <v>2416734237</v>
      </c>
      <c r="C8" s="16">
        <v>1823257629.3349998</v>
      </c>
      <c r="D8" s="17">
        <f t="shared" ref="D8:D36" si="1">+C8/B8</f>
        <v>0.75443033885194211</v>
      </c>
      <c r="E8" s="18"/>
      <c r="F8" s="19">
        <v>1613669800.7649996</v>
      </c>
      <c r="G8" s="20">
        <f t="shared" si="0"/>
        <v>0.66770676562604581</v>
      </c>
      <c r="H8" s="19"/>
      <c r="I8" s="21">
        <v>157685685.91700011</v>
      </c>
      <c r="J8" s="22">
        <f t="shared" ref="J8:J35" si="2">+I8/B8</f>
        <v>6.5247425017962421E-2</v>
      </c>
      <c r="K8" s="23"/>
      <c r="L8" s="24">
        <v>51902142.653000019</v>
      </c>
      <c r="N8" s="1"/>
      <c r="O8" s="1"/>
    </row>
    <row r="9" spans="1:15" x14ac:dyDescent="0.2">
      <c r="A9" s="14">
        <v>43344</v>
      </c>
      <c r="B9" s="15">
        <v>2108501535</v>
      </c>
      <c r="C9" s="16">
        <v>1643687422.6239974</v>
      </c>
      <c r="D9" s="17">
        <f t="shared" si="1"/>
        <v>0.77955239554710476</v>
      </c>
      <c r="E9" s="18"/>
      <c r="F9" s="19">
        <v>1469043244.4929976</v>
      </c>
      <c r="G9" s="20">
        <f t="shared" si="0"/>
        <v>0.69672382026176594</v>
      </c>
      <c r="H9" s="19"/>
      <c r="I9" s="21">
        <v>134231724.43999997</v>
      </c>
      <c r="J9" s="22">
        <f t="shared" si="2"/>
        <v>6.366214214778837E-2</v>
      </c>
      <c r="K9" s="23"/>
      <c r="L9" s="24">
        <v>40412453.691000007</v>
      </c>
      <c r="N9" s="1"/>
      <c r="O9" s="1"/>
    </row>
    <row r="10" spans="1:15" x14ac:dyDescent="0.2">
      <c r="A10" s="14">
        <v>43374</v>
      </c>
      <c r="B10" s="15">
        <v>2183083934</v>
      </c>
      <c r="C10" s="16">
        <v>1650955153.1519997</v>
      </c>
      <c r="D10" s="17">
        <f t="shared" si="1"/>
        <v>0.75624905091349537</v>
      </c>
      <c r="E10" s="18"/>
      <c r="F10" s="19">
        <v>1462598188.1919997</v>
      </c>
      <c r="G10" s="20">
        <f t="shared" si="0"/>
        <v>0.66996882960524762</v>
      </c>
      <c r="H10" s="19"/>
      <c r="I10" s="21">
        <v>143272877.50999996</v>
      </c>
      <c r="J10" s="22">
        <f t="shared" si="2"/>
        <v>6.5628661948643141E-2</v>
      </c>
      <c r="K10" s="23"/>
      <c r="L10" s="24">
        <v>45084087.450000003</v>
      </c>
      <c r="N10" s="1"/>
      <c r="O10" s="1"/>
    </row>
    <row r="11" spans="1:15" x14ac:dyDescent="0.2">
      <c r="A11" s="14">
        <v>43405</v>
      </c>
      <c r="B11" s="15">
        <v>1920917585</v>
      </c>
      <c r="C11" s="16">
        <v>1499452333.2040005</v>
      </c>
      <c r="D11" s="17">
        <f t="shared" si="1"/>
        <v>0.78059170518968435</v>
      </c>
      <c r="E11" s="18"/>
      <c r="F11" s="19">
        <v>1318641220.9600005</v>
      </c>
      <c r="G11" s="20">
        <f t="shared" si="0"/>
        <v>0.68646423524724021</v>
      </c>
      <c r="H11" s="19"/>
      <c r="I11" s="21">
        <v>139307801.77000004</v>
      </c>
      <c r="J11" s="22">
        <f t="shared" si="2"/>
        <v>7.2521488093930928E-2</v>
      </c>
      <c r="K11" s="23"/>
      <c r="L11" s="24">
        <v>41503310.473999999</v>
      </c>
      <c r="N11" s="1"/>
      <c r="O11" s="1"/>
    </row>
    <row r="12" spans="1:15" x14ac:dyDescent="0.2">
      <c r="A12" s="14">
        <v>43435</v>
      </c>
      <c r="B12" s="15">
        <v>1944910044</v>
      </c>
      <c r="C12" s="16">
        <v>1599134202</v>
      </c>
      <c r="D12" s="17">
        <f t="shared" si="1"/>
        <v>0.82221499494708761</v>
      </c>
      <c r="E12" s="18"/>
      <c r="F12" s="19">
        <v>1417292825</v>
      </c>
      <c r="G12" s="20">
        <f t="shared" si="0"/>
        <v>0.72871896022765359</v>
      </c>
      <c r="H12" s="19"/>
      <c r="I12" s="21">
        <f>+'[1]Table 1'!$E2</f>
        <v>140945896</v>
      </c>
      <c r="J12" s="22">
        <f t="shared" si="2"/>
        <v>7.2469107985130038E-2</v>
      </c>
      <c r="K12" s="23"/>
      <c r="L12" s="24">
        <v>40895480</v>
      </c>
      <c r="N12" s="1"/>
      <c r="O12" s="1"/>
    </row>
    <row r="13" spans="1:15" x14ac:dyDescent="0.2">
      <c r="A13" s="14">
        <v>43466</v>
      </c>
      <c r="B13" s="15">
        <v>1669940478</v>
      </c>
      <c r="C13" s="16">
        <v>1347338124.5849984</v>
      </c>
      <c r="D13" s="17">
        <f t="shared" si="1"/>
        <v>0.80681805270007856</v>
      </c>
      <c r="E13" s="18"/>
      <c r="F13" s="19">
        <v>1157238242.3829985</v>
      </c>
      <c r="G13" s="20">
        <f t="shared" si="0"/>
        <v>0.6929817305638114</v>
      </c>
      <c r="H13" s="19"/>
      <c r="I13" s="21">
        <v>147171191.71600002</v>
      </c>
      <c r="J13" s="22">
        <f t="shared" si="2"/>
        <v>8.8129603213318849E-2</v>
      </c>
      <c r="K13" s="23"/>
      <c r="L13" s="24">
        <v>42928690.485999994</v>
      </c>
      <c r="N13" s="1"/>
      <c r="O13" s="1"/>
    </row>
    <row r="14" spans="1:15" x14ac:dyDescent="0.2">
      <c r="A14" s="14">
        <v>43497</v>
      </c>
      <c r="B14" s="15">
        <v>1518206291</v>
      </c>
      <c r="C14" s="16">
        <v>1200640032.6570005</v>
      </c>
      <c r="D14" s="17">
        <f t="shared" si="1"/>
        <v>0.79082799206830623</v>
      </c>
      <c r="E14" s="18"/>
      <c r="F14" s="19">
        <v>1040887834.9180006</v>
      </c>
      <c r="G14" s="20">
        <f t="shared" si="0"/>
        <v>0.68560368975443842</v>
      </c>
      <c r="H14" s="19"/>
      <c r="I14" s="21">
        <v>120451256.68099999</v>
      </c>
      <c r="J14" s="22">
        <f t="shared" si="2"/>
        <v>7.9337872194998035E-2</v>
      </c>
      <c r="K14" s="23"/>
      <c r="L14" s="24">
        <v>39300941.057999991</v>
      </c>
      <c r="N14" s="1"/>
      <c r="O14" s="1"/>
    </row>
    <row r="15" spans="1:15" x14ac:dyDescent="0.2">
      <c r="A15" s="14">
        <v>43525</v>
      </c>
      <c r="B15" s="15">
        <v>1892229333</v>
      </c>
      <c r="C15" s="16">
        <v>1481296912.6059992</v>
      </c>
      <c r="D15" s="17">
        <f t="shared" si="1"/>
        <v>0.78283159803759328</v>
      </c>
      <c r="E15" s="18"/>
      <c r="F15" s="19">
        <v>1297770908.4669993</v>
      </c>
      <c r="G15" s="20">
        <f t="shared" si="0"/>
        <v>0.68584229502957361</v>
      </c>
      <c r="H15" s="19"/>
      <c r="I15" s="21">
        <v>136145655.26800004</v>
      </c>
      <c r="J15" s="22">
        <f t="shared" si="2"/>
        <v>7.1949870395545776E-2</v>
      </c>
      <c r="K15" s="23"/>
      <c r="L15" s="24">
        <v>47380348.87099997</v>
      </c>
      <c r="N15" s="1"/>
      <c r="O15" s="1"/>
    </row>
    <row r="16" spans="1:15" x14ac:dyDescent="0.2">
      <c r="A16" s="14">
        <v>43556</v>
      </c>
      <c r="B16" s="15">
        <v>2079825686</v>
      </c>
      <c r="C16" s="16">
        <v>1563950079.3950002</v>
      </c>
      <c r="D16" s="17">
        <f t="shared" si="1"/>
        <v>0.75196209467094743</v>
      </c>
      <c r="E16" s="18"/>
      <c r="F16" s="19">
        <v>1386252937.1760004</v>
      </c>
      <c r="G16" s="20">
        <f t="shared" si="0"/>
        <v>0.66652361614116562</v>
      </c>
      <c r="H16" s="19"/>
      <c r="I16" s="21">
        <v>135112442.22299999</v>
      </c>
      <c r="J16" s="22">
        <f t="shared" si="2"/>
        <v>6.4963349155886904E-2</v>
      </c>
      <c r="K16" s="23"/>
      <c r="L16" s="24">
        <v>42584699.996000007</v>
      </c>
      <c r="N16" s="1"/>
      <c r="O16" s="1"/>
    </row>
    <row r="17" spans="1:15" x14ac:dyDescent="0.2">
      <c r="A17" s="14">
        <v>43586</v>
      </c>
      <c r="B17" s="15">
        <v>2106748969</v>
      </c>
      <c r="C17" s="16">
        <v>1568387481.8810003</v>
      </c>
      <c r="D17" s="17">
        <f t="shared" si="1"/>
        <v>0.74445864455576738</v>
      </c>
      <c r="E17" s="18"/>
      <c r="F17" s="19">
        <v>1368717655.3530002</v>
      </c>
      <c r="G17" s="20">
        <f t="shared" si="0"/>
        <v>0.64968236628718157</v>
      </c>
      <c r="H17" s="19"/>
      <c r="I17" s="21">
        <v>151977581.44099993</v>
      </c>
      <c r="J17" s="22">
        <f t="shared" si="2"/>
        <v>7.2138438740111679E-2</v>
      </c>
      <c r="K17" s="23"/>
      <c r="L17" s="24">
        <v>47692245.086999997</v>
      </c>
      <c r="N17" s="1"/>
      <c r="O17" s="1"/>
    </row>
    <row r="18" spans="1:15" x14ac:dyDescent="0.2">
      <c r="A18" s="14">
        <v>43617</v>
      </c>
      <c r="B18" s="15">
        <v>2308275181</v>
      </c>
      <c r="C18" s="16">
        <v>1793107184.5529997</v>
      </c>
      <c r="D18" s="17">
        <f t="shared" si="1"/>
        <v>0.77681690610916798</v>
      </c>
      <c r="E18" s="18"/>
      <c r="F18" s="19">
        <v>1606228859.2409997</v>
      </c>
      <c r="G18" s="20">
        <f t="shared" si="0"/>
        <v>0.69585674726405145</v>
      </c>
      <c r="H18" s="19"/>
      <c r="I18" s="21">
        <v>145250853.08400002</v>
      </c>
      <c r="J18" s="22">
        <f t="shared" si="2"/>
        <v>6.2926142549899047E-2</v>
      </c>
      <c r="K18" s="23"/>
      <c r="L18" s="24">
        <v>41627472.228000008</v>
      </c>
      <c r="N18" s="1"/>
      <c r="O18" s="1"/>
    </row>
    <row r="19" spans="1:15" x14ac:dyDescent="0.2">
      <c r="A19" s="14">
        <v>43647</v>
      </c>
      <c r="B19" s="15">
        <v>2320603373</v>
      </c>
      <c r="C19" s="16">
        <v>1647507806.5080011</v>
      </c>
      <c r="D19" s="17">
        <f t="shared" si="1"/>
        <v>0.70994803578957011</v>
      </c>
      <c r="E19" s="18"/>
      <c r="F19" s="19">
        <v>1447116194.8760011</v>
      </c>
      <c r="G19" s="20">
        <f t="shared" si="0"/>
        <v>0.623594799401337</v>
      </c>
      <c r="H19" s="19"/>
      <c r="I19" s="21">
        <v>153569369.47999999</v>
      </c>
      <c r="J19" s="22">
        <f t="shared" si="2"/>
        <v>6.6176482921107949E-2</v>
      </c>
      <c r="K19" s="23"/>
      <c r="L19" s="24">
        <v>46822242.151999995</v>
      </c>
      <c r="N19" s="1"/>
      <c r="O19" s="1"/>
    </row>
    <row r="20" spans="1:15" x14ac:dyDescent="0.2">
      <c r="A20" s="14">
        <v>43678</v>
      </c>
      <c r="B20" s="15">
        <v>2372592056</v>
      </c>
      <c r="C20" s="16">
        <v>1751581471.0080006</v>
      </c>
      <c r="D20" s="17">
        <f t="shared" si="1"/>
        <v>0.73825648474985905</v>
      </c>
      <c r="E20" s="18"/>
      <c r="F20" s="19">
        <v>1538826297.9960005</v>
      </c>
      <c r="G20" s="20">
        <f t="shared" si="0"/>
        <v>0.64858444337470234</v>
      </c>
      <c r="H20" s="25">
        <f t="shared" ref="H20:H26" si="3">G20-G8</f>
        <v>-1.9122322251343471E-2</v>
      </c>
      <c r="I20" s="21">
        <v>166120699.29400003</v>
      </c>
      <c r="J20" s="22">
        <f t="shared" si="2"/>
        <v>7.001654535338292E-2</v>
      </c>
      <c r="K20" s="26">
        <f>(I20/I8)-1</f>
        <v>5.3492574978808216E-2</v>
      </c>
      <c r="L20" s="24">
        <v>46634473.717999995</v>
      </c>
      <c r="M20" s="28">
        <f t="shared" ref="M20:M33" si="4">(L20/L7)-1</f>
        <v>2.0353666509453916E-2</v>
      </c>
      <c r="N20" s="1"/>
      <c r="O20" s="1"/>
    </row>
    <row r="21" spans="1:15" x14ac:dyDescent="0.2">
      <c r="A21" s="14">
        <v>43709</v>
      </c>
      <c r="B21" s="15">
        <v>2246615729</v>
      </c>
      <c r="C21" s="16">
        <v>1644117418.3899984</v>
      </c>
      <c r="D21" s="17">
        <f t="shared" si="1"/>
        <v>0.73181959743592551</v>
      </c>
      <c r="E21" s="18"/>
      <c r="F21" s="19">
        <v>1452103286.6919985</v>
      </c>
      <c r="G21" s="20">
        <f t="shared" si="0"/>
        <v>0.64635142892832409</v>
      </c>
      <c r="H21" s="25">
        <f t="shared" si="3"/>
        <v>-5.0372391333441846E-2</v>
      </c>
      <c r="I21" s="21">
        <v>151574130.07000002</v>
      </c>
      <c r="J21" s="22">
        <f t="shared" si="2"/>
        <v>6.7467759667768273E-2</v>
      </c>
      <c r="K21" s="26">
        <f t="shared" ref="K21:K24" si="5">(I21/I9)-1</f>
        <v>0.1291975179664171</v>
      </c>
      <c r="L21" s="24">
        <v>40440001.627999991</v>
      </c>
      <c r="M21" s="28">
        <f t="shared" si="4"/>
        <v>-0.22084138417236421</v>
      </c>
      <c r="N21" s="1"/>
      <c r="O21" s="1"/>
    </row>
    <row r="22" spans="1:15" x14ac:dyDescent="0.2">
      <c r="A22" s="14">
        <v>43739</v>
      </c>
      <c r="B22" s="15">
        <v>2237055767</v>
      </c>
      <c r="C22" s="16">
        <v>1635013941.9499998</v>
      </c>
      <c r="D22" s="17">
        <f t="shared" si="1"/>
        <v>0.730877596378669</v>
      </c>
      <c r="E22" s="18"/>
      <c r="F22" s="19">
        <v>1427696586.5740001</v>
      </c>
      <c r="G22" s="20">
        <f t="shared" si="0"/>
        <v>0.63820339556783168</v>
      </c>
      <c r="H22" s="25">
        <f t="shared" si="3"/>
        <v>-3.1765434037415941E-2</v>
      </c>
      <c r="I22" s="21">
        <v>161351400.0379999</v>
      </c>
      <c r="J22" s="22">
        <f t="shared" si="2"/>
        <v>7.2126677581390797E-2</v>
      </c>
      <c r="K22" s="26">
        <f t="shared" si="5"/>
        <v>0.12618244878021745</v>
      </c>
      <c r="L22" s="24">
        <v>45965955.337999992</v>
      </c>
      <c r="M22" s="28">
        <f t="shared" si="4"/>
        <v>0.13742055083967264</v>
      </c>
      <c r="N22" s="1"/>
      <c r="O22" s="1"/>
    </row>
    <row r="23" spans="1:15" x14ac:dyDescent="0.2">
      <c r="A23" s="14">
        <v>43770</v>
      </c>
      <c r="B23" s="15">
        <v>1936789228</v>
      </c>
      <c r="C23" s="16">
        <v>1467888481.9659991</v>
      </c>
      <c r="D23" s="17">
        <f t="shared" si="1"/>
        <v>0.75789789655211726</v>
      </c>
      <c r="E23" s="18"/>
      <c r="F23" s="19">
        <v>1284035080.5979991</v>
      </c>
      <c r="G23" s="20">
        <f t="shared" si="0"/>
        <v>0.66297099448655084</v>
      </c>
      <c r="H23" s="20">
        <f t="shared" si="3"/>
        <v>-2.3493240760689371E-2</v>
      </c>
      <c r="I23" s="21">
        <v>140549527.10800001</v>
      </c>
      <c r="J23" s="22">
        <f t="shared" si="2"/>
        <v>7.2568313100923557E-2</v>
      </c>
      <c r="K23" s="22">
        <f t="shared" si="5"/>
        <v>8.9135376642441866E-3</v>
      </c>
      <c r="L23" s="24">
        <v>43303874.260000005</v>
      </c>
      <c r="M23" s="28">
        <f t="shared" si="4"/>
        <v>-3.9486508226973083E-2</v>
      </c>
      <c r="N23" s="1"/>
      <c r="O23" s="1"/>
    </row>
    <row r="24" spans="1:15" x14ac:dyDescent="0.2">
      <c r="A24" s="80">
        <v>43800</v>
      </c>
      <c r="B24" s="15">
        <v>1960160924</v>
      </c>
      <c r="C24" s="16">
        <v>1516521106.8340001</v>
      </c>
      <c r="D24" s="17">
        <f t="shared" si="1"/>
        <v>0.77367173698132563</v>
      </c>
      <c r="E24" s="18"/>
      <c r="F24" s="19">
        <v>1323479537.8500001</v>
      </c>
      <c r="G24" s="79">
        <f t="shared" si="0"/>
        <v>0.67518922637700751</v>
      </c>
      <c r="H24" s="20">
        <f t="shared" si="3"/>
        <v>-5.3529733850646077E-2</v>
      </c>
      <c r="I24" s="21">
        <v>147000344.19199994</v>
      </c>
      <c r="J24" s="22">
        <f t="shared" si="2"/>
        <v>7.4994018293163336E-2</v>
      </c>
      <c r="K24" s="22">
        <f t="shared" si="5"/>
        <v>4.295583173276607E-2</v>
      </c>
      <c r="L24" s="24">
        <v>46041224.791999981</v>
      </c>
      <c r="M24" s="28">
        <f t="shared" si="4"/>
        <v>0.10933861097279896</v>
      </c>
      <c r="N24" s="1"/>
      <c r="O24" s="1"/>
    </row>
    <row r="25" spans="1:15" x14ac:dyDescent="0.2">
      <c r="A25" s="80">
        <v>43831</v>
      </c>
      <c r="B25" s="15">
        <v>1778776341</v>
      </c>
      <c r="C25" s="16">
        <v>1426644639.9050007</v>
      </c>
      <c r="D25" s="17">
        <f t="shared" si="1"/>
        <v>0.80203711226728125</v>
      </c>
      <c r="E25" s="18"/>
      <c r="F25" s="19">
        <v>1218817580.4400008</v>
      </c>
      <c r="G25" s="79">
        <f t="shared" si="0"/>
        <v>0.68520001775760109</v>
      </c>
      <c r="H25" s="20">
        <f t="shared" si="3"/>
        <v>-7.7817128062103169E-3</v>
      </c>
      <c r="I25" s="21">
        <v>155981813.68999994</v>
      </c>
      <c r="J25" s="22">
        <f t="shared" si="2"/>
        <v>8.7690515156227805E-2</v>
      </c>
      <c r="K25" s="22">
        <f>(I25/I13)-1</f>
        <v>5.9866485222203059E-2</v>
      </c>
      <c r="L25" s="24">
        <v>51845245.774999991</v>
      </c>
      <c r="M25" s="28">
        <f t="shared" si="4"/>
        <v>0.26775002457484276</v>
      </c>
      <c r="N25" s="1"/>
      <c r="O25" s="1"/>
    </row>
    <row r="26" spans="1:15" x14ac:dyDescent="0.2">
      <c r="A26" s="80">
        <v>43862</v>
      </c>
      <c r="B26" s="15">
        <v>1755999845</v>
      </c>
      <c r="C26" s="16">
        <v>1404295813.2260013</v>
      </c>
      <c r="D26" s="17">
        <f t="shared" si="1"/>
        <v>0.79971294828104111</v>
      </c>
      <c r="E26" s="18"/>
      <c r="F26" s="19">
        <v>1215934433.9940014</v>
      </c>
      <c r="G26" s="79">
        <f t="shared" si="0"/>
        <v>0.69244563856667163</v>
      </c>
      <c r="H26" s="20">
        <f t="shared" si="3"/>
        <v>6.8419488122332117E-3</v>
      </c>
      <c r="I26" s="21">
        <v>142961559.34200001</v>
      </c>
      <c r="J26" s="22">
        <f t="shared" si="2"/>
        <v>8.1413195877588482E-2</v>
      </c>
      <c r="K26" s="22">
        <f>(I26/I14)-1</f>
        <v>0.18688308682918708</v>
      </c>
      <c r="L26" s="24">
        <v>45399819.889999993</v>
      </c>
      <c r="M26" s="28">
        <f t="shared" si="4"/>
        <v>5.756358686985541E-2</v>
      </c>
      <c r="N26" s="1"/>
      <c r="O26" s="1"/>
    </row>
    <row r="27" spans="1:15" x14ac:dyDescent="0.2">
      <c r="A27" s="80">
        <v>43891</v>
      </c>
      <c r="B27" s="15">
        <v>2453972770</v>
      </c>
      <c r="C27" s="16">
        <v>1149361900.3820004</v>
      </c>
      <c r="D27" s="17">
        <f t="shared" si="1"/>
        <v>0.46836782968133767</v>
      </c>
      <c r="E27" s="18"/>
      <c r="F27" s="19">
        <v>959758908.8020004</v>
      </c>
      <c r="G27" s="79">
        <f t="shared" si="0"/>
        <v>0.39110413959564855</v>
      </c>
      <c r="H27" s="27">
        <f>+G27-G15</f>
        <v>-0.29473815543392506</v>
      </c>
      <c r="I27" s="21">
        <v>151348707.04799992</v>
      </c>
      <c r="J27" s="28">
        <f t="shared" si="2"/>
        <v>6.1674974106578989E-2</v>
      </c>
      <c r="K27" s="28">
        <f t="shared" ref="K27:K34" si="6">(I27/I15)-1</f>
        <v>0.11166755009605689</v>
      </c>
      <c r="L27" s="24">
        <v>38254284.53199999</v>
      </c>
      <c r="M27" s="28">
        <f t="shared" si="4"/>
        <v>-2.663184386489259E-2</v>
      </c>
      <c r="N27" s="1"/>
      <c r="O27" s="1"/>
    </row>
    <row r="28" spans="1:15" x14ac:dyDescent="0.2">
      <c r="A28" s="80">
        <v>43922</v>
      </c>
      <c r="B28" s="15">
        <v>1885071014</v>
      </c>
      <c r="C28" s="16">
        <v>1011036045.678</v>
      </c>
      <c r="D28" s="17">
        <f t="shared" si="1"/>
        <v>0.53633843933160175</v>
      </c>
      <c r="E28" s="18"/>
      <c r="F28" s="19">
        <v>822939945.50199997</v>
      </c>
      <c r="G28" s="79">
        <f t="shared" si="0"/>
        <v>0.4365564689023434</v>
      </c>
      <c r="H28" s="27">
        <f t="shared" ref="H28:H32" si="7">+G28-G16</f>
        <v>-0.22996714723882222</v>
      </c>
      <c r="I28" s="21">
        <v>152943878.55599999</v>
      </c>
      <c r="J28" s="28">
        <f t="shared" si="2"/>
        <v>8.1134279515264987E-2</v>
      </c>
      <c r="K28" s="28">
        <f t="shared" si="6"/>
        <v>0.13197479106749932</v>
      </c>
      <c r="L28" s="24">
        <v>35152221.62000002</v>
      </c>
      <c r="M28" s="28">
        <f t="shared" si="4"/>
        <v>-0.25808436498204856</v>
      </c>
      <c r="N28" s="1"/>
      <c r="O28" s="1"/>
    </row>
    <row r="29" spans="1:15" x14ac:dyDescent="0.2">
      <c r="A29" s="80">
        <v>43952</v>
      </c>
      <c r="B29" s="15">
        <v>2247220138</v>
      </c>
      <c r="C29" s="16">
        <v>1528347547.1980002</v>
      </c>
      <c r="D29" s="17">
        <f t="shared" si="1"/>
        <v>0.68010584337243074</v>
      </c>
      <c r="E29" s="18"/>
      <c r="F29" s="19">
        <v>1338862542.3400002</v>
      </c>
      <c r="G29" s="79">
        <f t="shared" si="0"/>
        <v>0.59578610911326757</v>
      </c>
      <c r="H29" s="20">
        <f t="shared" si="7"/>
        <v>-5.3896257173913997E-2</v>
      </c>
      <c r="I29" s="21">
        <v>152112916.31599993</v>
      </c>
      <c r="J29" s="28">
        <f t="shared" si="2"/>
        <v>6.7689370410937436E-2</v>
      </c>
      <c r="K29" s="28">
        <f t="shared" si="6"/>
        <v>8.9049235891769385E-4</v>
      </c>
      <c r="L29" s="24">
        <v>37372088.541999996</v>
      </c>
      <c r="M29" s="28">
        <f t="shared" si="4"/>
        <v>-0.12240573385487352</v>
      </c>
      <c r="N29" s="1"/>
      <c r="O29" s="1"/>
    </row>
    <row r="30" spans="1:15" x14ac:dyDescent="0.2">
      <c r="A30" s="80">
        <v>43983</v>
      </c>
      <c r="B30" s="15">
        <v>2502520939</v>
      </c>
      <c r="C30" s="16">
        <v>1818491631.3850017</v>
      </c>
      <c r="D30" s="17">
        <f t="shared" si="1"/>
        <v>0.72666390240541423</v>
      </c>
      <c r="E30" s="18"/>
      <c r="F30" s="19">
        <v>1587492893.6980019</v>
      </c>
      <c r="G30" s="79">
        <f t="shared" si="0"/>
        <v>0.63435748686776594</v>
      </c>
      <c r="H30" s="27">
        <f t="shared" si="7"/>
        <v>-6.1499260396285504E-2</v>
      </c>
      <c r="I30" s="21">
        <v>196280676.38199985</v>
      </c>
      <c r="J30" s="28">
        <f t="shared" si="2"/>
        <v>7.8433180447406381E-2</v>
      </c>
      <c r="K30" s="28">
        <f t="shared" si="6"/>
        <v>0.35132202127920564</v>
      </c>
      <c r="L30" s="24">
        <v>34718061.305</v>
      </c>
      <c r="M30" s="28">
        <f t="shared" si="4"/>
        <v>-0.27203969446882914</v>
      </c>
      <c r="N30" s="1"/>
      <c r="O30" s="1"/>
    </row>
    <row r="31" spans="1:15" x14ac:dyDescent="0.2">
      <c r="A31" s="80">
        <v>44013</v>
      </c>
      <c r="B31" s="15">
        <v>2486201092</v>
      </c>
      <c r="C31" s="16">
        <v>1680479198.094002</v>
      </c>
      <c r="D31" s="17">
        <f t="shared" si="1"/>
        <v>0.67592247606252842</v>
      </c>
      <c r="E31" s="18"/>
      <c r="F31" s="19">
        <v>1444428652.6450019</v>
      </c>
      <c r="G31" s="79">
        <f t="shared" si="0"/>
        <v>0.58097820698930092</v>
      </c>
      <c r="H31" s="27">
        <f t="shared" si="7"/>
        <v>-4.2616592412036081E-2</v>
      </c>
      <c r="I31" s="21">
        <v>192755986.33400005</v>
      </c>
      <c r="J31" s="28">
        <f t="shared" si="2"/>
        <v>7.753032807935073E-2</v>
      </c>
      <c r="K31" s="28">
        <f t="shared" si="6"/>
        <v>0.25517208924337931</v>
      </c>
      <c r="L31" s="24">
        <v>43294559.114999995</v>
      </c>
      <c r="M31" s="28">
        <f t="shared" si="4"/>
        <v>4.0047756872411133E-2</v>
      </c>
      <c r="N31" s="1"/>
      <c r="O31" s="1"/>
    </row>
    <row r="32" spans="1:15" x14ac:dyDescent="0.2">
      <c r="A32" s="80">
        <v>44044</v>
      </c>
      <c r="B32" s="15">
        <v>2433691920</v>
      </c>
      <c r="C32" s="16">
        <v>1708318081.1720006</v>
      </c>
      <c r="D32" s="17">
        <f t="shared" si="1"/>
        <v>0.70194508480432505</v>
      </c>
      <c r="E32" s="1"/>
      <c r="F32" s="19">
        <v>1484166719.2800007</v>
      </c>
      <c r="G32" s="79">
        <f t="shared" si="0"/>
        <v>0.60984165953100611</v>
      </c>
      <c r="H32" s="27">
        <f t="shared" si="7"/>
        <v>-3.8742783843696227E-2</v>
      </c>
      <c r="I32" s="21">
        <v>182087600.90399995</v>
      </c>
      <c r="J32" s="28">
        <f t="shared" si="2"/>
        <v>7.4819495190664873E-2</v>
      </c>
      <c r="K32" s="28">
        <f t="shared" si="6"/>
        <v>9.6116267737000882E-2</v>
      </c>
      <c r="L32" s="24">
        <v>42063760.988000005</v>
      </c>
      <c r="M32" s="28">
        <f t="shared" si="4"/>
        <v>-0.10162864795223681</v>
      </c>
      <c r="N32" s="1"/>
      <c r="O32" s="1"/>
    </row>
    <row r="33" spans="1:15" x14ac:dyDescent="0.2">
      <c r="A33" s="80">
        <v>44075</v>
      </c>
      <c r="B33" s="15">
        <v>2456714252</v>
      </c>
      <c r="C33" s="16">
        <v>1705572519.8849993</v>
      </c>
      <c r="D33" s="17">
        <f t="shared" si="1"/>
        <v>0.69424945066220067</v>
      </c>
      <c r="E33" s="1"/>
      <c r="F33" s="19">
        <v>1466409197.8449996</v>
      </c>
      <c r="G33" s="79">
        <f t="shared" si="0"/>
        <v>0.5968985593872802</v>
      </c>
      <c r="H33" s="27">
        <f t="shared" ref="H33" si="8">+G33-G21</f>
        <v>-4.9452869541043887E-2</v>
      </c>
      <c r="I33" s="21">
        <v>194427219.70399985</v>
      </c>
      <c r="J33" s="28">
        <f t="shared" si="2"/>
        <v>7.9141161633151894E-2</v>
      </c>
      <c r="K33" s="28">
        <f t="shared" si="6"/>
        <v>0.28272034029955773</v>
      </c>
      <c r="L33" s="24">
        <v>44736102.336000003</v>
      </c>
      <c r="M33" s="28">
        <f t="shared" si="4"/>
        <v>-4.0707468759688337E-2</v>
      </c>
      <c r="N33" s="1"/>
      <c r="O33" s="1"/>
    </row>
    <row r="34" spans="1:15" x14ac:dyDescent="0.2">
      <c r="A34" s="80">
        <v>44105</v>
      </c>
      <c r="B34" s="15">
        <v>2464323398</v>
      </c>
      <c r="C34" s="16">
        <v>1723905570.474</v>
      </c>
      <c r="D34" s="78">
        <f t="shared" si="1"/>
        <v>0.69954518626617368</v>
      </c>
      <c r="E34" s="1"/>
      <c r="F34" s="19">
        <v>1495503725.7099998</v>
      </c>
      <c r="G34" s="79">
        <f t="shared" si="0"/>
        <v>0.60686179700429066</v>
      </c>
      <c r="H34" s="27">
        <f t="shared" ref="H34" si="9">+G34-G22</f>
        <v>-3.1341598563541018E-2</v>
      </c>
      <c r="I34" s="21">
        <v>186133341.39400005</v>
      </c>
      <c r="J34" s="28">
        <f t="shared" si="2"/>
        <v>7.5531215401786339E-2</v>
      </c>
      <c r="K34" s="28">
        <f t="shared" si="6"/>
        <v>0.15358987495716647</v>
      </c>
      <c r="L34" s="24">
        <v>42268503.370000005</v>
      </c>
      <c r="M34" s="28">
        <f>(L34/L21)-1</f>
        <v>4.5215174787084811E-2</v>
      </c>
      <c r="N34" s="1"/>
      <c r="O34" s="1"/>
    </row>
    <row r="35" spans="1:15" x14ac:dyDescent="0.2">
      <c r="A35" s="81">
        <v>44136</v>
      </c>
      <c r="B35" s="15">
        <v>2132679076</v>
      </c>
      <c r="C35" s="16">
        <v>1492173986.6349995</v>
      </c>
      <c r="D35" s="78">
        <f t="shared" si="1"/>
        <v>0.69967113356486998</v>
      </c>
      <c r="E35" s="1"/>
      <c r="F35" s="19">
        <v>1284422598.2499993</v>
      </c>
      <c r="G35" s="79">
        <f>F35/B35</f>
        <v>0.60225779523238465</v>
      </c>
      <c r="H35" s="27">
        <f t="shared" ref="H35" si="10">+G35-G23</f>
        <v>-6.0713199254166184E-2</v>
      </c>
      <c r="I35" s="21">
        <v>167345766.46400002</v>
      </c>
      <c r="J35" s="28">
        <f t="shared" si="2"/>
        <v>7.8467392655190107E-2</v>
      </c>
      <c r="K35" s="28">
        <f>(I35/I23)-1</f>
        <v>0.19065335833829899</v>
      </c>
      <c r="L35" s="24">
        <v>40405621.921000004</v>
      </c>
      <c r="M35" s="28">
        <f>(L35/L23)-1</f>
        <v>-6.6928245763846816E-2</v>
      </c>
      <c r="N35" s="1"/>
      <c r="O35" s="1"/>
    </row>
    <row r="36" spans="1:15" ht="17" thickBot="1" x14ac:dyDescent="0.25">
      <c r="A36" s="81">
        <v>44185</v>
      </c>
      <c r="B36" s="84">
        <v>2170446106</v>
      </c>
      <c r="C36" s="85">
        <v>1460643908.8690007</v>
      </c>
      <c r="D36" s="78">
        <f t="shared" si="1"/>
        <v>0.6729694438535857</v>
      </c>
      <c r="E36" s="1"/>
      <c r="F36" s="86">
        <v>1242059767.7100005</v>
      </c>
      <c r="G36" s="79">
        <f>F36/B36</f>
        <v>0.57226012858667152</v>
      </c>
      <c r="H36" s="27">
        <f t="shared" ref="H36" si="11">+G36-G24</f>
        <v>-0.10292909779033599</v>
      </c>
      <c r="I36" s="87">
        <v>178245080.18400013</v>
      </c>
      <c r="J36" s="28">
        <f t="shared" ref="J36" si="12">+I36/B36</f>
        <v>8.2123707053244899E-2</v>
      </c>
      <c r="K36" s="28">
        <f>(I36/I24)-1</f>
        <v>0.21254872676482206</v>
      </c>
      <c r="L36" s="88">
        <v>40339060.975000001</v>
      </c>
      <c r="M36" s="28">
        <f>(L36/L24)-1</f>
        <v>-0.12384909052182236</v>
      </c>
      <c r="N36" s="1"/>
      <c r="O36" s="1"/>
    </row>
    <row r="37" spans="1:15" s="13" customFormat="1" ht="52" thickTop="1" x14ac:dyDescent="0.2">
      <c r="A37" s="4" t="s">
        <v>3</v>
      </c>
      <c r="B37" s="5" t="s">
        <v>4</v>
      </c>
      <c r="C37" s="6" t="s">
        <v>5</v>
      </c>
      <c r="D37" s="7" t="s">
        <v>6</v>
      </c>
      <c r="E37" s="8" t="s">
        <v>7</v>
      </c>
      <c r="F37" s="9" t="s">
        <v>8</v>
      </c>
      <c r="G37" s="7" t="s">
        <v>9</v>
      </c>
      <c r="H37" s="8" t="s">
        <v>7</v>
      </c>
      <c r="I37" s="10" t="s">
        <v>10</v>
      </c>
      <c r="J37" s="11"/>
      <c r="K37" s="11" t="s">
        <v>11</v>
      </c>
      <c r="L37" s="12" t="s">
        <v>12</v>
      </c>
    </row>
    <row r="38" spans="1:15" x14ac:dyDescent="0.2">
      <c r="A38" s="30" t="s">
        <v>32</v>
      </c>
      <c r="B38" s="31">
        <f>SUM(B13:B24)</f>
        <v>24649043015</v>
      </c>
      <c r="C38" s="31">
        <f>SUM(C13:C24)</f>
        <v>18617350042.333</v>
      </c>
      <c r="D38" s="32">
        <f>C38/B38</f>
        <v>0.75529707303458171</v>
      </c>
      <c r="E38" s="33">
        <f>+'[2]Rev Calcs'!AR15</f>
        <v>9.755553007596009E-3</v>
      </c>
      <c r="F38" s="31">
        <f>SUM(F13:F24)</f>
        <v>16330353422.123997</v>
      </c>
      <c r="G38" s="36">
        <f>F38/B38</f>
        <v>0.66251470339786722</v>
      </c>
      <c r="H38" s="35"/>
      <c r="I38" s="31">
        <f>SUM(I13:I24)</f>
        <v>1756274450.5949998</v>
      </c>
      <c r="J38" s="36">
        <f>I38/B38</f>
        <v>7.1251222594168523E-2</v>
      </c>
      <c r="K38" s="35"/>
      <c r="L38" s="31">
        <f>SUM(L13:L24)</f>
        <v>530722169.61399996</v>
      </c>
      <c r="N38" s="1"/>
      <c r="O38" s="1"/>
    </row>
    <row r="39" spans="1:15" x14ac:dyDescent="0.2">
      <c r="A39" s="30"/>
      <c r="B39" s="31"/>
      <c r="C39" s="31"/>
      <c r="D39" s="32"/>
      <c r="E39" s="33">
        <f>+F81/F38</f>
        <v>5.6350082993507716E-2</v>
      </c>
      <c r="F39" s="31">
        <f>+E39*F38</f>
        <v>920216770.64999998</v>
      </c>
      <c r="G39" s="34"/>
      <c r="H39" s="35"/>
      <c r="I39" s="31"/>
      <c r="J39" s="36"/>
      <c r="K39" s="35"/>
      <c r="L39" s="31"/>
      <c r="N39" s="1"/>
      <c r="O39" s="1"/>
    </row>
    <row r="40" spans="1:15" x14ac:dyDescent="0.2">
      <c r="A40" s="30"/>
      <c r="B40" s="31"/>
      <c r="C40" s="31"/>
      <c r="D40" s="32"/>
      <c r="E40" s="37" t="s">
        <v>13</v>
      </c>
      <c r="F40" s="38">
        <f>+F38/C38</f>
        <v>0.87715777943645445</v>
      </c>
      <c r="G40" s="39"/>
      <c r="H40" s="40"/>
      <c r="I40" s="38">
        <f>+I38/C38</f>
        <v>9.4335361724493597E-2</v>
      </c>
      <c r="J40" s="36"/>
      <c r="K40" s="35"/>
      <c r="L40" s="38">
        <f>+L38/C38</f>
        <v>2.8506858839051696E-2</v>
      </c>
      <c r="N40" s="1"/>
      <c r="O40" s="1"/>
    </row>
    <row r="41" spans="1:15" x14ac:dyDescent="0.2">
      <c r="A41" s="30" t="s">
        <v>33</v>
      </c>
      <c r="B41" s="31">
        <f>SUM(B25:B36)</f>
        <v>26767616891</v>
      </c>
      <c r="C41" s="31">
        <f>SUM(C25:C36)</f>
        <v>18109270842.903008</v>
      </c>
      <c r="D41" s="41">
        <f>C41/B41</f>
        <v>0.67653653728852625</v>
      </c>
      <c r="E41" s="42">
        <f>(D41-D38)/D38</f>
        <v>-0.1042775598608064</v>
      </c>
      <c r="F41" s="31">
        <f>SUM(F25:F36)</f>
        <v>15560796966.216007</v>
      </c>
      <c r="G41" s="42">
        <f>F41/B41</f>
        <v>0.58132918703898406</v>
      </c>
      <c r="H41" s="43">
        <f>(G41-G38)/G38</f>
        <v>-0.12254145597449168</v>
      </c>
      <c r="I41" s="31">
        <f>SUM(I25:I36)</f>
        <v>2052624546.3179998</v>
      </c>
      <c r="J41" s="44">
        <f>I41/B41</f>
        <v>7.6683126281897288E-2</v>
      </c>
      <c r="K41" s="44">
        <f>(+J41-J38)/J38</f>
        <v>7.6235936591119394E-2</v>
      </c>
      <c r="L41" s="31">
        <f>SUM(L25:L36)</f>
        <v>495849330.36900002</v>
      </c>
      <c r="M41" s="44">
        <f>L41/C41</f>
        <v>2.738096606265749E-2</v>
      </c>
      <c r="N41" s="76" t="s">
        <v>25</v>
      </c>
      <c r="O41" s="1"/>
    </row>
    <row r="42" spans="1:15" x14ac:dyDescent="0.2">
      <c r="A42" s="30"/>
      <c r="B42" s="32">
        <f>(B41-B38)/B38</f>
        <v>8.5949538678266615E-2</v>
      </c>
      <c r="C42" s="32">
        <f>(C41-C38)/C38</f>
        <v>-2.729062934707133E-2</v>
      </c>
      <c r="D42" s="45"/>
      <c r="E42" s="45"/>
      <c r="F42" s="46">
        <f>+F41*E44</f>
        <v>879503026.52999985</v>
      </c>
      <c r="G42" s="47"/>
      <c r="H42" s="33">
        <f>+H84</f>
        <v>5.6784326655880589E-2</v>
      </c>
      <c r="I42" s="46">
        <f>(I41-I38)*H84</f>
        <v>16828040.640036315</v>
      </c>
      <c r="J42" s="47"/>
      <c r="K42" s="45"/>
      <c r="L42" s="46">
        <f>(L41-L38)*H84</f>
        <v>-1980230.6951060891</v>
      </c>
      <c r="N42" s="1"/>
      <c r="O42" s="1"/>
    </row>
    <row r="43" spans="1:15" x14ac:dyDescent="0.2">
      <c r="A43" s="30"/>
      <c r="B43" s="32"/>
      <c r="C43" s="32"/>
      <c r="D43" s="45"/>
      <c r="E43" s="37" t="s">
        <v>13</v>
      </c>
      <c r="F43" s="38">
        <f>+F41/C41</f>
        <v>0.8592724191495682</v>
      </c>
      <c r="G43" s="48"/>
      <c r="H43" s="49"/>
      <c r="I43" s="38">
        <f>+I41/C41</f>
        <v>0.11334661478777429</v>
      </c>
      <c r="J43" s="47"/>
      <c r="K43" s="45"/>
      <c r="L43" s="38">
        <f>+L41/C41</f>
        <v>2.738096606265749E-2</v>
      </c>
      <c r="N43" s="1"/>
      <c r="O43" s="1"/>
    </row>
    <row r="44" spans="1:15" x14ac:dyDescent="0.2">
      <c r="A44" s="30"/>
      <c r="B44" s="35"/>
      <c r="C44" s="45"/>
      <c r="D44" s="45"/>
      <c r="E44" s="33">
        <f>+F84/F41</f>
        <v>5.6520435838825343E-2</v>
      </c>
      <c r="F44" s="46">
        <f>+F42-F39</f>
        <v>-40713744.120000124</v>
      </c>
      <c r="G44" s="47"/>
      <c r="H44" s="35"/>
      <c r="I44" s="47"/>
      <c r="J44" s="47"/>
      <c r="K44" s="45"/>
      <c r="L44" s="35"/>
      <c r="N44" s="1"/>
      <c r="O44" s="1"/>
    </row>
    <row r="45" spans="1:15" x14ac:dyDescent="0.2">
      <c r="A45" s="30"/>
      <c r="B45" s="35"/>
      <c r="C45" s="45"/>
      <c r="D45" s="50" t="s">
        <v>14</v>
      </c>
      <c r="E45" s="33">
        <f>+'[2]Rev Calcs'!AS15</f>
        <v>7.8186555144832866E-3</v>
      </c>
      <c r="F45" s="46">
        <f>+E45*F41-F38*E38</f>
        <v>-37647117.432647943</v>
      </c>
      <c r="G45" s="47"/>
      <c r="H45" s="35"/>
      <c r="I45" s="47"/>
      <c r="J45" s="47"/>
      <c r="K45" s="45"/>
      <c r="L45" s="35"/>
      <c r="N45" s="1"/>
      <c r="O45" s="1"/>
    </row>
    <row r="46" spans="1:15" x14ac:dyDescent="0.2">
      <c r="A46" s="30"/>
      <c r="B46" s="35"/>
      <c r="C46" s="45"/>
      <c r="D46" s="50" t="s">
        <v>15</v>
      </c>
      <c r="E46" s="33">
        <f>+'[2]Rev Calcs'!AL15</f>
        <v>8.5586305282712664E-3</v>
      </c>
      <c r="F46" s="46">
        <f>(+F41-F38)*E46</f>
        <v>-6586349.3767623594</v>
      </c>
      <c r="G46" s="47" t="s">
        <v>15</v>
      </c>
      <c r="H46" s="33">
        <f>+'[2]Rev Calcs'!AM15</f>
        <v>6.883227316808389E-3</v>
      </c>
      <c r="I46" s="46">
        <f>(+I41-I38)*H46</f>
        <v>2039845.0742193349</v>
      </c>
      <c r="J46" s="47"/>
      <c r="K46" s="45"/>
      <c r="L46" s="35"/>
      <c r="N46" s="1"/>
      <c r="O46" s="1"/>
    </row>
    <row r="47" spans="1:15" x14ac:dyDescent="0.2">
      <c r="A47" s="30"/>
      <c r="B47" s="35"/>
      <c r="C47" s="45"/>
      <c r="D47" s="45"/>
      <c r="E47" s="51" t="s">
        <v>16</v>
      </c>
      <c r="F47" s="46">
        <f>+F45+F46</f>
        <v>-44233466.809410304</v>
      </c>
      <c r="G47" s="47"/>
      <c r="H47" s="51" t="s">
        <v>17</v>
      </c>
      <c r="I47" s="46">
        <f>+I42+I46</f>
        <v>18867885.71425565</v>
      </c>
      <c r="J47" s="47"/>
      <c r="K47" s="45"/>
      <c r="L47" s="35"/>
      <c r="N47" s="1"/>
      <c r="O47" s="1"/>
    </row>
    <row r="48" spans="1:15" ht="17" thickBot="1" x14ac:dyDescent="0.25">
      <c r="A48" s="1" t="s">
        <v>18</v>
      </c>
      <c r="I48" s="2"/>
      <c r="J48" s="2"/>
      <c r="K48" s="2"/>
      <c r="N48" s="1"/>
      <c r="O48" s="1"/>
    </row>
    <row r="49" spans="1:15" ht="35" thickTop="1" x14ac:dyDescent="0.2">
      <c r="A49" s="4" t="s">
        <v>3</v>
      </c>
      <c r="B49" s="6" t="s">
        <v>19</v>
      </c>
      <c r="C49" s="6" t="s">
        <v>20</v>
      </c>
      <c r="D49" s="7" t="s">
        <v>21</v>
      </c>
      <c r="E49" s="7"/>
      <c r="F49" s="52" t="s">
        <v>22</v>
      </c>
      <c r="G49" s="52"/>
      <c r="H49" s="52"/>
      <c r="I49" s="53" t="s">
        <v>23</v>
      </c>
      <c r="J49" s="54"/>
      <c r="K49" s="54"/>
      <c r="L49" s="55" t="s">
        <v>24</v>
      </c>
      <c r="N49" s="1"/>
      <c r="O49" s="1"/>
    </row>
    <row r="50" spans="1:15" x14ac:dyDescent="0.2">
      <c r="A50" s="14">
        <v>43282</v>
      </c>
      <c r="B50" s="56">
        <v>125439295.39</v>
      </c>
      <c r="C50" s="57">
        <v>94251594.319999993</v>
      </c>
      <c r="D50" s="58">
        <f>+B50-C50</f>
        <v>31187701.070000008</v>
      </c>
      <c r="E50" s="58"/>
      <c r="F50" s="59">
        <v>83222630.599999994</v>
      </c>
      <c r="G50" s="59"/>
      <c r="H50" s="59"/>
      <c r="I50" s="60">
        <v>8426319.879999999</v>
      </c>
      <c r="J50" s="61"/>
      <c r="K50" s="61"/>
      <c r="L50" s="62">
        <v>2602643.84</v>
      </c>
      <c r="N50" s="1"/>
      <c r="O50" s="1"/>
    </row>
    <row r="51" spans="1:15" x14ac:dyDescent="0.2">
      <c r="A51" s="14">
        <v>43313</v>
      </c>
      <c r="B51" s="56">
        <v>132458139.67</v>
      </c>
      <c r="C51" s="57">
        <v>102191463.73</v>
      </c>
      <c r="D51" s="58">
        <f t="shared" ref="D51:D75" si="13">+B51-C51</f>
        <v>30266675.939999998</v>
      </c>
      <c r="E51" s="58"/>
      <c r="F51" s="59">
        <v>90269011.810000002</v>
      </c>
      <c r="G51" s="59"/>
      <c r="H51" s="59"/>
      <c r="I51" s="60">
        <v>8954929.4500000011</v>
      </c>
      <c r="J51" s="61"/>
      <c r="K51" s="61"/>
      <c r="L51" s="62">
        <v>2967522.4699999997</v>
      </c>
      <c r="N51" s="1"/>
      <c r="O51" s="1"/>
    </row>
    <row r="52" spans="1:15" x14ac:dyDescent="0.2">
      <c r="A52" s="14">
        <v>43344</v>
      </c>
      <c r="B52" s="56">
        <v>116197306.44</v>
      </c>
      <c r="C52" s="57">
        <v>92319677.280000001</v>
      </c>
      <c r="D52" s="58">
        <f t="shared" si="13"/>
        <v>23877629.159999996</v>
      </c>
      <c r="E52" s="58"/>
      <c r="F52" s="59">
        <v>82176242.109999999</v>
      </c>
      <c r="G52" s="59"/>
      <c r="H52" s="59"/>
      <c r="I52" s="60">
        <v>7804655.8099999996</v>
      </c>
      <c r="J52" s="61"/>
      <c r="K52" s="61"/>
      <c r="L52" s="62">
        <v>2338779.36</v>
      </c>
      <c r="N52" s="1"/>
      <c r="O52" s="1"/>
    </row>
    <row r="53" spans="1:15" x14ac:dyDescent="0.2">
      <c r="A53" s="14">
        <v>43374</v>
      </c>
      <c r="B53" s="56">
        <v>120151767.59999999</v>
      </c>
      <c r="C53" s="57">
        <v>92837733.510000005</v>
      </c>
      <c r="D53" s="58">
        <f t="shared" si="13"/>
        <v>27314034.089999989</v>
      </c>
      <c r="E53" s="58"/>
      <c r="F53" s="59">
        <v>81811689.730000004</v>
      </c>
      <c r="G53" s="59"/>
      <c r="H53" s="59"/>
      <c r="I53" s="60">
        <v>8411133.7699999996</v>
      </c>
      <c r="J53" s="61"/>
      <c r="K53" s="61"/>
      <c r="L53" s="62">
        <v>2614910.0100000002</v>
      </c>
      <c r="N53" s="1"/>
      <c r="O53" s="1"/>
    </row>
    <row r="54" spans="1:15" x14ac:dyDescent="0.2">
      <c r="A54" s="14">
        <v>43405</v>
      </c>
      <c r="B54" s="56">
        <v>105244497.43000001</v>
      </c>
      <c r="C54" s="57">
        <v>84193649.569999993</v>
      </c>
      <c r="D54" s="58">
        <f t="shared" si="13"/>
        <v>21050847.860000014</v>
      </c>
      <c r="E54" s="58"/>
      <c r="F54" s="59">
        <v>73750930.420000002</v>
      </c>
      <c r="G54" s="59"/>
      <c r="H54" s="59"/>
      <c r="I54" s="60">
        <v>8049044.75</v>
      </c>
      <c r="J54" s="61"/>
      <c r="K54" s="61"/>
      <c r="L54" s="62">
        <v>2393674.4</v>
      </c>
      <c r="N54" s="1"/>
      <c r="O54" s="1"/>
    </row>
    <row r="55" spans="1:15" x14ac:dyDescent="0.2">
      <c r="A55" s="14">
        <v>43435</v>
      </c>
      <c r="B55" s="56">
        <v>106709341</v>
      </c>
      <c r="C55" s="57">
        <v>89774719</v>
      </c>
      <c r="D55" s="58">
        <f t="shared" si="13"/>
        <v>16934622</v>
      </c>
      <c r="E55" s="58"/>
      <c r="F55" s="59">
        <v>79281391</v>
      </c>
      <c r="G55" s="59"/>
      <c r="H55" s="59"/>
      <c r="I55" s="60">
        <v>8137955</v>
      </c>
      <c r="J55" s="61"/>
      <c r="K55" s="61"/>
      <c r="L55" s="62">
        <v>2355374</v>
      </c>
      <c r="N55" s="1"/>
      <c r="O55" s="1"/>
    </row>
    <row r="56" spans="1:15" x14ac:dyDescent="0.2">
      <c r="A56" s="14">
        <v>43466</v>
      </c>
      <c r="B56" s="56">
        <v>90402853.75</v>
      </c>
      <c r="C56" s="57">
        <v>76068394.870000005</v>
      </c>
      <c r="D56" s="58">
        <f t="shared" si="13"/>
        <v>14334458.879999995</v>
      </c>
      <c r="E56" s="58"/>
      <c r="F56" s="59">
        <v>64930527.090000004</v>
      </c>
      <c r="G56" s="59"/>
      <c r="H56" s="59"/>
      <c r="I56" s="60">
        <v>8646717.3900000006</v>
      </c>
      <c r="J56" s="61"/>
      <c r="K56" s="63" t="s">
        <v>25</v>
      </c>
      <c r="L56" s="62">
        <v>2491150.39</v>
      </c>
      <c r="N56" s="1"/>
      <c r="O56" s="1"/>
    </row>
    <row r="57" spans="1:15" x14ac:dyDescent="0.2">
      <c r="A57" s="14">
        <v>43497</v>
      </c>
      <c r="B57" s="56">
        <v>82751808.219999999</v>
      </c>
      <c r="C57" s="57">
        <v>67803337.359999999</v>
      </c>
      <c r="D57" s="58">
        <f t="shared" si="13"/>
        <v>14948470.859999999</v>
      </c>
      <c r="E57" s="58"/>
      <c r="F57" s="59">
        <v>58418073.880000003</v>
      </c>
      <c r="G57" s="59"/>
      <c r="H57" s="59"/>
      <c r="I57" s="60">
        <v>7089661.9699999997</v>
      </c>
      <c r="J57" s="61"/>
      <c r="K57" s="63" t="s">
        <v>25</v>
      </c>
      <c r="L57" s="62">
        <v>2295601.5099999998</v>
      </c>
      <c r="N57" s="1"/>
      <c r="O57" s="1"/>
    </row>
    <row r="58" spans="1:15" x14ac:dyDescent="0.2">
      <c r="A58" s="14">
        <v>43525</v>
      </c>
      <c r="B58" s="56">
        <v>102767266.93000001</v>
      </c>
      <c r="C58" s="57">
        <v>83586486.760000005</v>
      </c>
      <c r="D58" s="58">
        <f t="shared" si="13"/>
        <v>19180780.170000002</v>
      </c>
      <c r="E58" s="58"/>
      <c r="F58" s="59">
        <v>72846737.659999996</v>
      </c>
      <c r="G58" s="59"/>
      <c r="H58" s="59"/>
      <c r="I58" s="60">
        <v>7987661.8300000001</v>
      </c>
      <c r="J58" s="61"/>
      <c r="K58" s="63" t="s">
        <v>25</v>
      </c>
      <c r="L58" s="62">
        <v>2752087.27</v>
      </c>
      <c r="N58" s="1"/>
      <c r="O58" s="1"/>
    </row>
    <row r="59" spans="1:15" x14ac:dyDescent="0.2">
      <c r="A59" s="14">
        <v>43556</v>
      </c>
      <c r="B59" s="56">
        <v>112948052.81</v>
      </c>
      <c r="C59" s="57">
        <v>88194219.760000005</v>
      </c>
      <c r="D59" s="58">
        <f t="shared" si="13"/>
        <v>24753833.049999997</v>
      </c>
      <c r="E59" s="58"/>
      <c r="F59" s="59">
        <v>77800749.400000006</v>
      </c>
      <c r="G59" s="59"/>
      <c r="H59" s="59"/>
      <c r="I59" s="60">
        <v>7920351.1900000004</v>
      </c>
      <c r="J59" s="61"/>
      <c r="K59" s="63" t="s">
        <v>25</v>
      </c>
      <c r="L59" s="62">
        <v>2473119.17</v>
      </c>
      <c r="N59" s="1"/>
      <c r="O59" s="1"/>
    </row>
    <row r="60" spans="1:15" x14ac:dyDescent="0.2">
      <c r="A60" s="14">
        <v>43586</v>
      </c>
      <c r="B60" s="56">
        <v>114294178.43000001</v>
      </c>
      <c r="C60" s="57">
        <v>88396192.709999993</v>
      </c>
      <c r="D60" s="58">
        <f t="shared" si="13"/>
        <v>25897985.720000014</v>
      </c>
      <c r="E60" s="58"/>
      <c r="F60" s="59">
        <v>76822483.170000002</v>
      </c>
      <c r="G60" s="59"/>
      <c r="H60" s="59"/>
      <c r="I60" s="60">
        <v>8809661.4100000001</v>
      </c>
      <c r="J60" s="61"/>
      <c r="K60" s="63" t="s">
        <v>25</v>
      </c>
      <c r="L60" s="62">
        <v>2764048.13</v>
      </c>
      <c r="N60" s="1"/>
      <c r="O60" s="1"/>
    </row>
    <row r="61" spans="1:15" x14ac:dyDescent="0.2">
      <c r="A61" s="14">
        <v>43617</v>
      </c>
      <c r="B61" s="56">
        <v>125013028.70999999</v>
      </c>
      <c r="C61" s="57">
        <v>101061765.66</v>
      </c>
      <c r="D61" s="58">
        <f t="shared" si="13"/>
        <v>23951263.049999997</v>
      </c>
      <c r="E61" s="58" t="s">
        <v>25</v>
      </c>
      <c r="F61" s="59">
        <v>90167251.840000004</v>
      </c>
      <c r="G61" s="59"/>
      <c r="H61" s="59"/>
      <c r="I61" s="60">
        <v>8482494.0700000003</v>
      </c>
      <c r="J61" s="61"/>
      <c r="K61" s="63" t="s">
        <v>25</v>
      </c>
      <c r="L61" s="62">
        <v>2412019.75</v>
      </c>
      <c r="N61" s="1"/>
      <c r="O61" s="1"/>
    </row>
    <row r="62" spans="1:15" x14ac:dyDescent="0.2">
      <c r="A62" s="14">
        <v>43647</v>
      </c>
      <c r="B62" s="56">
        <v>125952797.83</v>
      </c>
      <c r="C62" s="57">
        <v>92595002.269999996</v>
      </c>
      <c r="D62" s="58">
        <f t="shared" si="13"/>
        <v>33357795.560000002</v>
      </c>
      <c r="E62" s="58">
        <f t="shared" ref="E62:E75" si="14">D62-D50</f>
        <v>2170094.4899999946</v>
      </c>
      <c r="F62" s="59">
        <v>80941505.109999999</v>
      </c>
      <c r="G62" s="59"/>
      <c r="H62" s="59"/>
      <c r="I62" s="60">
        <v>8951627.9299999997</v>
      </c>
      <c r="J62" s="64">
        <f t="shared" ref="J62:J75" si="15">(I62-I50)/I50</f>
        <v>6.2341337319370888E-2</v>
      </c>
      <c r="K62" s="63">
        <f t="shared" ref="K62:K73" si="16">I62-I50</f>
        <v>525308.05000000075</v>
      </c>
      <c r="L62" s="62">
        <v>2701869.23</v>
      </c>
      <c r="N62" s="1"/>
      <c r="O62" s="1"/>
    </row>
    <row r="63" spans="1:15" x14ac:dyDescent="0.2">
      <c r="A63" s="14">
        <v>43678</v>
      </c>
      <c r="B63" s="56">
        <v>128501624.2</v>
      </c>
      <c r="C63" s="57">
        <v>98435785.609999999</v>
      </c>
      <c r="D63" s="58">
        <f t="shared" si="13"/>
        <v>30065838.590000004</v>
      </c>
      <c r="E63" s="58">
        <f t="shared" si="14"/>
        <v>-200837.34999999404</v>
      </c>
      <c r="F63" s="59">
        <v>86072934.439999998</v>
      </c>
      <c r="G63" s="59"/>
      <c r="H63" s="59"/>
      <c r="I63" s="60">
        <v>9678882.9399999995</v>
      </c>
      <c r="J63" s="65">
        <f t="shared" si="15"/>
        <v>8.0844131050077483E-2</v>
      </c>
      <c r="K63" s="63">
        <f t="shared" si="16"/>
        <v>723953.48999999836</v>
      </c>
      <c r="L63" s="62">
        <v>2683968.23</v>
      </c>
      <c r="N63" s="1"/>
      <c r="O63" s="1"/>
    </row>
    <row r="64" spans="1:15" x14ac:dyDescent="0.2">
      <c r="A64" s="14">
        <v>43709</v>
      </c>
      <c r="B64" s="56">
        <v>122079117.28</v>
      </c>
      <c r="C64" s="57">
        <v>92359155.290000007</v>
      </c>
      <c r="D64" s="58">
        <f t="shared" si="13"/>
        <v>29719961.989999995</v>
      </c>
      <c r="E64" s="58">
        <f t="shared" si="14"/>
        <v>5842332.8299999982</v>
      </c>
      <c r="F64" s="59">
        <v>81226967.379999995</v>
      </c>
      <c r="G64" s="59"/>
      <c r="H64" s="59"/>
      <c r="I64" s="60">
        <v>8794629.4000000004</v>
      </c>
      <c r="J64" s="66">
        <f t="shared" si="15"/>
        <v>0.1268439780177828</v>
      </c>
      <c r="K64" s="63">
        <f t="shared" si="16"/>
        <v>989973.59000000078</v>
      </c>
      <c r="L64" s="62">
        <v>2337558.5099999998</v>
      </c>
      <c r="N64" s="1"/>
      <c r="O64" s="1"/>
    </row>
    <row r="65" spans="1:15" x14ac:dyDescent="0.2">
      <c r="A65" s="14">
        <v>43739</v>
      </c>
      <c r="B65" s="56">
        <v>121875386.17</v>
      </c>
      <c r="C65" s="57">
        <v>91948751.640000001</v>
      </c>
      <c r="D65" s="58">
        <f t="shared" si="13"/>
        <v>29926634.530000001</v>
      </c>
      <c r="E65" s="58">
        <f t="shared" si="14"/>
        <v>2612600.4400000125</v>
      </c>
      <c r="F65" s="59">
        <v>79882980.969999999</v>
      </c>
      <c r="G65" s="59"/>
      <c r="H65" s="59"/>
      <c r="I65" s="60">
        <v>9407763.5</v>
      </c>
      <c r="J65" s="66">
        <f t="shared" si="15"/>
        <v>0.11848934486747564</v>
      </c>
      <c r="K65" s="63">
        <f t="shared" si="16"/>
        <v>996629.73000000045</v>
      </c>
      <c r="L65" s="62">
        <v>2658007.17</v>
      </c>
      <c r="N65" s="1"/>
      <c r="O65" s="1"/>
    </row>
    <row r="66" spans="1:15" x14ac:dyDescent="0.2">
      <c r="A66" s="14">
        <v>43770</v>
      </c>
      <c r="B66" s="56">
        <v>105039507.12</v>
      </c>
      <c r="C66" s="57">
        <v>82465758.530000001</v>
      </c>
      <c r="D66" s="58">
        <f t="shared" si="13"/>
        <v>22573748.590000004</v>
      </c>
      <c r="E66" s="58">
        <f t="shared" si="14"/>
        <v>1522900.7299999893</v>
      </c>
      <c r="F66" s="59">
        <v>71825168.709999993</v>
      </c>
      <c r="G66" s="59"/>
      <c r="H66" s="59"/>
      <c r="I66" s="60">
        <v>8140218.0499999998</v>
      </c>
      <c r="J66" s="67">
        <f t="shared" si="15"/>
        <v>1.1327219916375768E-2</v>
      </c>
      <c r="K66" s="63">
        <f t="shared" si="16"/>
        <v>91173.299999999814</v>
      </c>
      <c r="L66" s="62">
        <v>2500371.77</v>
      </c>
      <c r="N66" s="1"/>
      <c r="O66" s="1"/>
    </row>
    <row r="67" spans="1:15" x14ac:dyDescent="0.2">
      <c r="A67" s="14">
        <v>43800</v>
      </c>
      <c r="B67" s="56">
        <v>106474989.75</v>
      </c>
      <c r="C67" s="57">
        <v>85276625.510000005</v>
      </c>
      <c r="D67" s="58">
        <f t="shared" si="13"/>
        <v>21198364.239999995</v>
      </c>
      <c r="E67" s="58">
        <f t="shared" si="14"/>
        <v>4263742.2399999946</v>
      </c>
      <c r="F67" s="59">
        <v>74104001.379999995</v>
      </c>
      <c r="G67" s="59"/>
      <c r="H67" s="59"/>
      <c r="I67" s="60">
        <v>8535117.0099999998</v>
      </c>
      <c r="J67" s="67">
        <f t="shared" si="15"/>
        <v>4.8803662590908868E-2</v>
      </c>
      <c r="K67" s="63">
        <f t="shared" si="16"/>
        <v>397162.00999999978</v>
      </c>
      <c r="L67" s="62">
        <v>2637507.12</v>
      </c>
      <c r="N67" s="1"/>
      <c r="O67" s="1"/>
    </row>
    <row r="68" spans="1:15" x14ac:dyDescent="0.2">
      <c r="A68" s="14">
        <v>43831</v>
      </c>
      <c r="B68" s="56">
        <v>96175239.709999993</v>
      </c>
      <c r="C68" s="57">
        <v>80329929.269999996</v>
      </c>
      <c r="D68" s="58">
        <f t="shared" si="13"/>
        <v>15845310.439999998</v>
      </c>
      <c r="E68" s="58">
        <f t="shared" si="14"/>
        <v>1510851.5600000024</v>
      </c>
      <c r="F68" s="59">
        <v>68282391.349999994</v>
      </c>
      <c r="G68" s="59"/>
      <c r="H68" s="59"/>
      <c r="I68" s="60">
        <v>9065726.0600000005</v>
      </c>
      <c r="J68" s="67">
        <f t="shared" si="15"/>
        <v>4.8458698382415837E-2</v>
      </c>
      <c r="K68" s="63">
        <f t="shared" si="16"/>
        <v>419008.66999999993</v>
      </c>
      <c r="L68" s="62">
        <v>2981811.86</v>
      </c>
      <c r="N68" s="1"/>
      <c r="O68" s="1"/>
    </row>
    <row r="69" spans="1:15" x14ac:dyDescent="0.2">
      <c r="A69" s="14">
        <v>43862</v>
      </c>
      <c r="B69" s="56">
        <v>95176739.849999994</v>
      </c>
      <c r="C69" s="57">
        <v>79042828.349999994</v>
      </c>
      <c r="D69" s="58">
        <f t="shared" si="13"/>
        <v>16133911.5</v>
      </c>
      <c r="E69" s="58">
        <f t="shared" si="14"/>
        <v>1185440.6400000006</v>
      </c>
      <c r="F69" s="59">
        <v>68149231.219999999</v>
      </c>
      <c r="G69" s="59"/>
      <c r="H69" s="59"/>
      <c r="I69" s="60">
        <v>8282551.1100000003</v>
      </c>
      <c r="J69" s="74">
        <f t="shared" si="15"/>
        <v>0.1682575481098714</v>
      </c>
      <c r="K69" s="63">
        <f t="shared" si="16"/>
        <v>1192889.1400000006</v>
      </c>
      <c r="L69" s="62">
        <v>2611046.02</v>
      </c>
      <c r="N69" s="1"/>
      <c r="O69" s="1"/>
    </row>
    <row r="70" spans="1:15" x14ac:dyDescent="0.2">
      <c r="A70" s="14">
        <v>43891</v>
      </c>
      <c r="B70" s="56">
        <v>133061271.2</v>
      </c>
      <c r="C70" s="57">
        <v>64801781.509999998</v>
      </c>
      <c r="D70" s="58">
        <f t="shared" si="13"/>
        <v>68259489.689999998</v>
      </c>
      <c r="E70" s="58">
        <f t="shared" si="14"/>
        <v>49078709.519999996</v>
      </c>
      <c r="F70" s="59">
        <v>53808883.840000004</v>
      </c>
      <c r="G70" s="59"/>
      <c r="H70" s="59"/>
      <c r="I70" s="60">
        <v>8798844.5099999998</v>
      </c>
      <c r="J70" s="68">
        <f>(I70-I58)/I58</f>
        <v>0.10155445952323193</v>
      </c>
      <c r="K70" s="73">
        <f t="shared" si="16"/>
        <v>811182.6799999997</v>
      </c>
      <c r="L70" s="62">
        <v>2194053.16</v>
      </c>
      <c r="N70" s="1"/>
      <c r="O70" s="1"/>
    </row>
    <row r="71" spans="1:15" x14ac:dyDescent="0.2">
      <c r="A71" s="14">
        <v>43922</v>
      </c>
      <c r="B71" s="56">
        <v>102441722.93000001</v>
      </c>
      <c r="C71" s="57">
        <v>56943281.789999999</v>
      </c>
      <c r="D71" s="58">
        <f t="shared" si="13"/>
        <v>45498441.140000008</v>
      </c>
      <c r="E71" s="58">
        <f t="shared" si="14"/>
        <v>20744608.090000011</v>
      </c>
      <c r="F71" s="59">
        <v>46137923.630000003</v>
      </c>
      <c r="G71" s="59"/>
      <c r="H71" s="59"/>
      <c r="I71" s="60">
        <v>8787921.7699999996</v>
      </c>
      <c r="J71" s="68">
        <f t="shared" si="15"/>
        <v>0.10953688279572349</v>
      </c>
      <c r="K71" s="73">
        <f t="shared" si="16"/>
        <v>867570.57999999914</v>
      </c>
      <c r="L71" s="62">
        <v>2017436.39</v>
      </c>
      <c r="N71" s="1"/>
      <c r="O71" s="1"/>
    </row>
    <row r="72" spans="1:15" x14ac:dyDescent="0.2">
      <c r="A72" s="14">
        <v>43952</v>
      </c>
      <c r="B72" s="56">
        <v>120973069.84</v>
      </c>
      <c r="C72" s="57">
        <v>85945562.489999995</v>
      </c>
      <c r="D72" s="58">
        <f t="shared" si="13"/>
        <v>35027507.350000009</v>
      </c>
      <c r="E72" s="58">
        <f t="shared" si="14"/>
        <v>9129521.6299999952</v>
      </c>
      <c r="F72" s="59">
        <v>75061112.459999993</v>
      </c>
      <c r="G72" s="59"/>
      <c r="H72" s="59"/>
      <c r="I72" s="60">
        <v>8742637.9000000004</v>
      </c>
      <c r="J72" s="69">
        <f t="shared" si="15"/>
        <v>-7.6079552755478463E-3</v>
      </c>
      <c r="K72" s="73">
        <f t="shared" si="16"/>
        <v>-67023.509999999776</v>
      </c>
      <c r="L72" s="62">
        <v>2141812.13</v>
      </c>
      <c r="N72" s="1"/>
      <c r="O72" s="1"/>
    </row>
    <row r="73" spans="1:15" x14ac:dyDescent="0.2">
      <c r="A73" s="14">
        <v>43983</v>
      </c>
      <c r="B73" s="56">
        <v>135688297.34</v>
      </c>
      <c r="C73" s="57">
        <v>102260860.18000001</v>
      </c>
      <c r="D73" s="58">
        <f t="shared" si="13"/>
        <v>33427437.159999996</v>
      </c>
      <c r="E73" s="58">
        <f t="shared" si="14"/>
        <v>9476174.1099999994</v>
      </c>
      <c r="F73" s="59">
        <v>88968990.140000001</v>
      </c>
      <c r="G73" s="59"/>
      <c r="H73" s="59"/>
      <c r="I73" s="60">
        <v>11300789.380000001</v>
      </c>
      <c r="J73" s="68">
        <f t="shared" si="15"/>
        <v>0.332248426788467</v>
      </c>
      <c r="K73" s="73">
        <f t="shared" si="16"/>
        <v>2818295.3100000005</v>
      </c>
      <c r="L73" s="62">
        <v>1991080.66</v>
      </c>
      <c r="N73" s="1"/>
      <c r="O73" s="1"/>
    </row>
    <row r="74" spans="1:15" x14ac:dyDescent="0.2">
      <c r="A74" s="14">
        <v>44013</v>
      </c>
      <c r="B74" s="56">
        <v>134535105.44999999</v>
      </c>
      <c r="C74" s="57">
        <v>95069244.579999998</v>
      </c>
      <c r="D74" s="58">
        <f t="shared" si="13"/>
        <v>39465860.86999999</v>
      </c>
      <c r="E74" s="58">
        <f t="shared" si="14"/>
        <v>6108065.3099999875</v>
      </c>
      <c r="F74" s="59">
        <v>81533470.900000006</v>
      </c>
      <c r="I74" s="60">
        <v>11069788.92</v>
      </c>
      <c r="J74" s="68">
        <f t="shared" si="15"/>
        <v>0.23662299266274356</v>
      </c>
      <c r="K74" s="73">
        <f t="shared" ref="K74:K79" si="17">I74-I62</f>
        <v>2118160.9900000002</v>
      </c>
      <c r="L74" s="62">
        <v>2465984.7599999998</v>
      </c>
      <c r="N74" s="1"/>
      <c r="O74" s="1"/>
    </row>
    <row r="75" spans="1:15" x14ac:dyDescent="0.2">
      <c r="A75" s="14">
        <v>44044</v>
      </c>
      <c r="B75" s="56">
        <v>131459522.94</v>
      </c>
      <c r="C75" s="57">
        <v>96657687.370000005</v>
      </c>
      <c r="D75" s="58">
        <f t="shared" si="13"/>
        <v>34801835.569999993</v>
      </c>
      <c r="E75" s="58">
        <f t="shared" si="14"/>
        <v>4735996.9799999893</v>
      </c>
      <c r="F75" s="59">
        <v>83773561.909999996</v>
      </c>
      <c r="I75" s="60">
        <v>10472070.16</v>
      </c>
      <c r="J75" s="68">
        <f t="shared" si="15"/>
        <v>8.1950285473749176E-2</v>
      </c>
      <c r="K75" s="73">
        <f t="shared" si="17"/>
        <v>793187.22000000067</v>
      </c>
      <c r="L75" s="62">
        <v>2412055.2999999998</v>
      </c>
      <c r="N75" s="1"/>
      <c r="O75" s="1"/>
    </row>
    <row r="76" spans="1:15" x14ac:dyDescent="0.2">
      <c r="A76" s="14">
        <v>44075</v>
      </c>
      <c r="B76" s="56">
        <v>133079358.78</v>
      </c>
      <c r="C76" s="57">
        <v>96466210.650000006</v>
      </c>
      <c r="D76" s="58">
        <f t="shared" ref="D76" si="18">+B76-C76</f>
        <v>36613148.129999995</v>
      </c>
      <c r="E76" s="58">
        <f t="shared" ref="E76" si="19">D76-D64</f>
        <v>6893186.1400000006</v>
      </c>
      <c r="F76" s="59">
        <v>82764728.010000005</v>
      </c>
      <c r="I76" s="60">
        <v>11138479.140000001</v>
      </c>
      <c r="J76" s="68">
        <f>(I76-I64)/I64</f>
        <v>0.26650921072353545</v>
      </c>
      <c r="K76" s="73">
        <f t="shared" si="17"/>
        <v>2343849.7400000002</v>
      </c>
      <c r="L76" s="62">
        <v>2563003.5</v>
      </c>
      <c r="N76" s="1"/>
      <c r="O76" s="1"/>
    </row>
    <row r="77" spans="1:15" ht="17" thickBot="1" x14ac:dyDescent="0.25">
      <c r="A77" s="29">
        <v>44105</v>
      </c>
      <c r="B77" s="56">
        <v>133673115.37</v>
      </c>
      <c r="C77" s="57">
        <v>97588468.579999998</v>
      </c>
      <c r="D77" s="58">
        <f t="shared" ref="D77" si="20">+B77-C77</f>
        <v>36084646.790000007</v>
      </c>
      <c r="E77" s="58">
        <f t="shared" ref="E77" si="21">D77-D65</f>
        <v>6158012.2600000054</v>
      </c>
      <c r="F77" s="59">
        <v>84422016.890000001</v>
      </c>
      <c r="I77" s="60">
        <v>10744101.01</v>
      </c>
      <c r="J77" s="68">
        <f t="shared" ref="J77:J79" si="22">(I77-I65)/I65</f>
        <v>0.14204624829269993</v>
      </c>
      <c r="K77" s="73">
        <f t="shared" si="17"/>
        <v>1336337.5099999998</v>
      </c>
      <c r="L77" s="62">
        <v>2422350.6800000002</v>
      </c>
      <c r="N77" s="1"/>
      <c r="O77" s="1"/>
    </row>
    <row r="78" spans="1:15" ht="17" thickTop="1" x14ac:dyDescent="0.2">
      <c r="A78" s="77">
        <v>44137</v>
      </c>
      <c r="B78" s="56">
        <v>114660329.54000001</v>
      </c>
      <c r="C78" s="57">
        <v>84427203.170000002</v>
      </c>
      <c r="D78" s="58">
        <f t="shared" ref="D78" si="23">+B78-C78</f>
        <v>30233126.370000005</v>
      </c>
      <c r="E78" s="58">
        <f t="shared" ref="E78" si="24">D78-D66</f>
        <v>7659377.7800000012</v>
      </c>
      <c r="F78" s="59">
        <v>72496714.799999997</v>
      </c>
      <c r="I78" s="60">
        <v>9618875.7699999996</v>
      </c>
      <c r="J78" s="68">
        <f t="shared" si="22"/>
        <v>0.1816484166539003</v>
      </c>
      <c r="K78" s="73">
        <f t="shared" si="17"/>
        <v>1478657.7199999997</v>
      </c>
      <c r="L78" s="62">
        <v>2311612.6</v>
      </c>
      <c r="N78" s="1"/>
      <c r="O78" s="1"/>
    </row>
    <row r="79" spans="1:15" ht="17" thickBot="1" x14ac:dyDescent="0.25">
      <c r="A79" s="77">
        <v>44166</v>
      </c>
      <c r="B79" s="89">
        <v>117474601.73</v>
      </c>
      <c r="C79" s="90">
        <v>82640615.950000003</v>
      </c>
      <c r="D79" s="58">
        <f t="shared" ref="D79" si="25">+B79-C79</f>
        <v>34833985.780000001</v>
      </c>
      <c r="E79" s="58">
        <f t="shared" ref="E79" si="26">D79-D67</f>
        <v>13635621.540000007</v>
      </c>
      <c r="F79" s="91">
        <v>70158373.670000002</v>
      </c>
      <c r="I79" s="92">
        <v>10173289.15</v>
      </c>
      <c r="J79" s="68">
        <f t="shared" si="22"/>
        <v>0.19193317889850472</v>
      </c>
      <c r="K79" s="73">
        <f t="shared" si="17"/>
        <v>1638172.1400000006</v>
      </c>
      <c r="L79" s="93">
        <v>2308953.13</v>
      </c>
      <c r="N79" s="1"/>
      <c r="O79" s="1"/>
    </row>
    <row r="80" spans="1:15" ht="35" thickTop="1" x14ac:dyDescent="0.2">
      <c r="A80" s="4" t="s">
        <v>3</v>
      </c>
      <c r="B80" s="6" t="s">
        <v>19</v>
      </c>
      <c r="C80" s="6" t="s">
        <v>20</v>
      </c>
      <c r="D80" s="7" t="s">
        <v>21</v>
      </c>
      <c r="E80" s="7" t="s">
        <v>26</v>
      </c>
      <c r="F80" s="52" t="s">
        <v>22</v>
      </c>
      <c r="G80" s="52"/>
      <c r="H80" s="52" t="s">
        <v>26</v>
      </c>
      <c r="I80" s="53" t="s">
        <v>23</v>
      </c>
      <c r="J80" s="75"/>
      <c r="K80" s="54"/>
      <c r="L80" s="55" t="s">
        <v>24</v>
      </c>
      <c r="N80" s="1"/>
      <c r="O80" s="1"/>
    </row>
    <row r="81" spans="1:15" x14ac:dyDescent="0.2">
      <c r="A81" s="30" t="str">
        <f>+A38</f>
        <v>1/19 - 12/19</v>
      </c>
      <c r="B81" s="31">
        <f>SUM(B55:B66)</f>
        <v>1338334962.4500003</v>
      </c>
      <c r="C81" s="31">
        <f>SUM(C55:C66)</f>
        <v>1052689569.4599999</v>
      </c>
      <c r="D81" s="71">
        <f>B81-C81</f>
        <v>285645392.99000037</v>
      </c>
      <c r="E81" s="33">
        <f>+F81/F38</f>
        <v>5.6350082993507716E-2</v>
      </c>
      <c r="F81" s="70">
        <f>SUM(F55:F66)</f>
        <v>920216770.64999998</v>
      </c>
      <c r="G81" s="35"/>
      <c r="H81" s="72">
        <f>+I81/I38</f>
        <v>5.8104600135490084E-2</v>
      </c>
      <c r="I81" s="70">
        <f>SUM(I55:I66)</f>
        <v>102047624.67999999</v>
      </c>
      <c r="J81" s="45"/>
      <c r="K81" s="45"/>
      <c r="L81" s="35"/>
      <c r="N81" s="1"/>
      <c r="O81" s="1"/>
    </row>
    <row r="82" spans="1:15" x14ac:dyDescent="0.2">
      <c r="A82" s="30"/>
      <c r="B82" s="31"/>
      <c r="C82" s="31"/>
      <c r="D82" s="45"/>
      <c r="E82" s="45"/>
      <c r="F82" s="35"/>
      <c r="G82" s="35"/>
      <c r="H82" s="72"/>
      <c r="I82" s="35"/>
      <c r="J82" s="45"/>
      <c r="K82" s="45"/>
      <c r="L82" s="35"/>
      <c r="N82" s="1"/>
      <c r="O82" s="1"/>
    </row>
    <row r="83" spans="1:15" x14ac:dyDescent="0.2">
      <c r="A83" s="30"/>
      <c r="B83" s="31"/>
      <c r="C83" s="31"/>
      <c r="D83" s="45"/>
      <c r="E83" s="45"/>
      <c r="F83" s="70">
        <f>F84-F81</f>
        <v>-40713744.120000124</v>
      </c>
      <c r="G83" s="35"/>
      <c r="H83" s="72"/>
      <c r="I83" s="70">
        <f>I84-I81</f>
        <v>14509278.060000002</v>
      </c>
      <c r="J83" s="45"/>
      <c r="K83" s="45"/>
      <c r="L83" s="35"/>
      <c r="N83" s="1"/>
      <c r="O83" s="1"/>
    </row>
    <row r="84" spans="1:15" x14ac:dyDescent="0.2">
      <c r="A84" s="30" t="str">
        <f>+A41</f>
        <v>1/20- 12/20</v>
      </c>
      <c r="B84" s="31">
        <f>SUM(B67:B78)</f>
        <v>1437398762.6999998</v>
      </c>
      <c r="C84" s="31">
        <f>SUM(C67:C78)</f>
        <v>1024809683.45</v>
      </c>
      <c r="D84" s="45">
        <f>B84-C84</f>
        <v>412589079.24999976</v>
      </c>
      <c r="E84" s="33">
        <f>+F84/F41</f>
        <v>5.6520435838825343E-2</v>
      </c>
      <c r="F84" s="70">
        <f>SUM(F67:F78)</f>
        <v>879503026.52999985</v>
      </c>
      <c r="G84" s="35"/>
      <c r="H84" s="72">
        <f>+I84/I41</f>
        <v>5.6784326655880589E-2</v>
      </c>
      <c r="I84" s="70">
        <f>SUM(I67:I78)</f>
        <v>116556902.73999999</v>
      </c>
      <c r="J84" s="45"/>
      <c r="K84" s="45"/>
      <c r="L84" s="35"/>
      <c r="N84" s="1"/>
      <c r="O84" s="1"/>
    </row>
    <row r="85" spans="1:15" x14ac:dyDescent="0.2">
      <c r="A85" s="30"/>
      <c r="B85" s="32">
        <f>(B84-B81)/B81</f>
        <v>7.4020184056650548E-2</v>
      </c>
      <c r="C85" s="32">
        <f>(C84-C81)/C81</f>
        <v>-2.6484432655964729E-2</v>
      </c>
      <c r="D85" s="71">
        <f>D84-D81</f>
        <v>126943686.25999939</v>
      </c>
      <c r="E85" s="45"/>
      <c r="F85" s="32">
        <f>(F84-F81)/F81</f>
        <v>-4.4243644995995625E-2</v>
      </c>
      <c r="G85" s="35"/>
      <c r="H85" s="35"/>
      <c r="I85" s="32">
        <f>(I84-I81)/I81</f>
        <v>0.14218143837740529</v>
      </c>
      <c r="J85" s="45"/>
      <c r="K85" s="45"/>
      <c r="L85" s="35"/>
      <c r="N85" s="1"/>
      <c r="O85" s="1"/>
    </row>
    <row r="86" spans="1:15" x14ac:dyDescent="0.2">
      <c r="A86" s="30" t="s">
        <v>25</v>
      </c>
      <c r="B86" s="3" t="s">
        <v>25</v>
      </c>
      <c r="C86" s="2" t="s">
        <v>25</v>
      </c>
      <c r="D86" s="2" t="s">
        <v>25</v>
      </c>
      <c r="N86" s="1"/>
      <c r="O86" s="1"/>
    </row>
    <row r="87" spans="1:15" x14ac:dyDescent="0.2">
      <c r="A87" s="1" t="s">
        <v>27</v>
      </c>
      <c r="N87" s="1"/>
      <c r="O87" s="1"/>
    </row>
    <row r="88" spans="1:15" x14ac:dyDescent="0.2">
      <c r="A88" s="1" t="s">
        <v>28</v>
      </c>
      <c r="N88" s="1"/>
      <c r="O88" s="1"/>
    </row>
    <row r="89" spans="1:15" x14ac:dyDescent="0.2">
      <c r="A89" s="1" t="s">
        <v>29</v>
      </c>
      <c r="N89" s="1"/>
      <c r="O89" s="1"/>
    </row>
    <row r="90" spans="1:15" x14ac:dyDescent="0.2">
      <c r="A90" s="1" t="s">
        <v>30</v>
      </c>
      <c r="C90" s="1"/>
      <c r="D90" s="1"/>
      <c r="E90" s="1"/>
      <c r="N90" s="1"/>
      <c r="O90" s="1"/>
    </row>
    <row r="91" spans="1:15" x14ac:dyDescent="0.2">
      <c r="A91" s="1" t="s">
        <v>31</v>
      </c>
      <c r="C91" s="1"/>
      <c r="D91" s="1"/>
      <c r="E91" s="1"/>
      <c r="N91" s="1"/>
      <c r="O91" s="1"/>
    </row>
    <row r="92" spans="1:15" x14ac:dyDescent="0.2">
      <c r="C92" s="1"/>
      <c r="D92" s="1"/>
      <c r="E92" s="1"/>
    </row>
    <row r="102" spans="1:5" x14ac:dyDescent="0.2">
      <c r="A102" s="83">
        <f t="shared" ref="A102:A118" si="27">+A62</f>
        <v>43647</v>
      </c>
      <c r="E102" s="3">
        <f>E62</f>
        <v>2170094.4899999946</v>
      </c>
    </row>
    <row r="103" spans="1:5" x14ac:dyDescent="0.2">
      <c r="A103" s="83">
        <f t="shared" si="27"/>
        <v>43678</v>
      </c>
      <c r="E103" s="3">
        <f t="shared" ref="E103:E118" si="28">+E102+E63</f>
        <v>1969257.1400000006</v>
      </c>
    </row>
    <row r="104" spans="1:5" x14ac:dyDescent="0.2">
      <c r="A104" s="83">
        <f t="shared" si="27"/>
        <v>43709</v>
      </c>
      <c r="E104" s="3">
        <f t="shared" si="28"/>
        <v>7811589.9699999988</v>
      </c>
    </row>
    <row r="105" spans="1:5" x14ac:dyDescent="0.2">
      <c r="A105" s="83">
        <f t="shared" si="27"/>
        <v>43739</v>
      </c>
      <c r="E105" s="3">
        <f t="shared" si="28"/>
        <v>10424190.410000011</v>
      </c>
    </row>
    <row r="106" spans="1:5" x14ac:dyDescent="0.2">
      <c r="A106" s="83">
        <f t="shared" si="27"/>
        <v>43770</v>
      </c>
      <c r="E106" s="3">
        <f t="shared" si="28"/>
        <v>11947091.140000001</v>
      </c>
    </row>
    <row r="107" spans="1:5" x14ac:dyDescent="0.2">
      <c r="A107" s="83">
        <f t="shared" si="27"/>
        <v>43800</v>
      </c>
      <c r="E107" s="3">
        <f t="shared" si="28"/>
        <v>16210833.379999995</v>
      </c>
    </row>
    <row r="108" spans="1:5" x14ac:dyDescent="0.2">
      <c r="A108" s="83">
        <f t="shared" si="27"/>
        <v>43831</v>
      </c>
      <c r="E108" s="3">
        <f t="shared" si="28"/>
        <v>17721684.939999998</v>
      </c>
    </row>
    <row r="109" spans="1:5" x14ac:dyDescent="0.2">
      <c r="A109" s="83">
        <f t="shared" si="27"/>
        <v>43862</v>
      </c>
      <c r="E109" s="3">
        <f t="shared" si="28"/>
        <v>18907125.579999998</v>
      </c>
    </row>
    <row r="110" spans="1:5" x14ac:dyDescent="0.2">
      <c r="A110" s="83">
        <f t="shared" si="27"/>
        <v>43891</v>
      </c>
      <c r="E110" s="3">
        <f t="shared" si="28"/>
        <v>67985835.099999994</v>
      </c>
    </row>
    <row r="111" spans="1:5" x14ac:dyDescent="0.2">
      <c r="A111" s="83">
        <f t="shared" si="27"/>
        <v>43922</v>
      </c>
      <c r="E111" s="3">
        <f t="shared" si="28"/>
        <v>88730443.189999998</v>
      </c>
    </row>
    <row r="112" spans="1:5" x14ac:dyDescent="0.2">
      <c r="A112" s="83">
        <f t="shared" si="27"/>
        <v>43952</v>
      </c>
      <c r="E112" s="3">
        <f t="shared" si="28"/>
        <v>97859964.819999993</v>
      </c>
    </row>
    <row r="113" spans="1:5" x14ac:dyDescent="0.2">
      <c r="A113" s="83">
        <f t="shared" si="27"/>
        <v>43983</v>
      </c>
      <c r="E113" s="3">
        <f t="shared" si="28"/>
        <v>107336138.92999999</v>
      </c>
    </row>
    <row r="114" spans="1:5" x14ac:dyDescent="0.2">
      <c r="A114" s="83">
        <f t="shared" si="27"/>
        <v>44013</v>
      </c>
      <c r="E114" s="3">
        <f t="shared" si="28"/>
        <v>113444204.23999998</v>
      </c>
    </row>
    <row r="115" spans="1:5" x14ac:dyDescent="0.2">
      <c r="A115" s="83">
        <f t="shared" si="27"/>
        <v>44044</v>
      </c>
      <c r="E115" s="3">
        <f t="shared" si="28"/>
        <v>118180201.21999997</v>
      </c>
    </row>
    <row r="116" spans="1:5" x14ac:dyDescent="0.2">
      <c r="A116" s="83">
        <f t="shared" si="27"/>
        <v>44075</v>
      </c>
      <c r="E116" s="3">
        <f t="shared" si="28"/>
        <v>125073387.35999997</v>
      </c>
    </row>
    <row r="117" spans="1:5" x14ac:dyDescent="0.2">
      <c r="A117" s="83">
        <f t="shared" si="27"/>
        <v>44105</v>
      </c>
      <c r="E117" s="3">
        <f t="shared" si="28"/>
        <v>131231399.61999997</v>
      </c>
    </row>
    <row r="118" spans="1:5" x14ac:dyDescent="0.2">
      <c r="A118" s="83">
        <f t="shared" si="27"/>
        <v>44137</v>
      </c>
      <c r="E118" s="3">
        <f t="shared" si="28"/>
        <v>138890777.39999998</v>
      </c>
    </row>
    <row r="119" spans="1:5" x14ac:dyDescent="0.2">
      <c r="A119" s="82" t="s">
        <v>25</v>
      </c>
    </row>
    <row r="120" spans="1:5" x14ac:dyDescent="0.2">
      <c r="A120" s="82" t="str">
        <f t="shared" ref="A120" si="29">+A81</f>
        <v>1/19 - 12/19</v>
      </c>
    </row>
  </sheetData>
  <printOptions horizontalCentered="1"/>
  <pageMargins left="0.2" right="0.2" top="0.5" bottom="0.5" header="0.3" footer="0.3"/>
  <pageSetup scale="56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Summary_4_ADA</vt:lpstr>
      <vt:lpstr>Summary_4_ADA!Print_Area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Donlevy</dc:creator>
  <cp:lastModifiedBy>Microsoft Office User</cp:lastModifiedBy>
  <cp:lastPrinted>2021-03-03T20:21:27Z</cp:lastPrinted>
  <dcterms:created xsi:type="dcterms:W3CDTF">2020-11-05T16:47:56Z</dcterms:created>
  <dcterms:modified xsi:type="dcterms:W3CDTF">2021-03-12T21:54:55Z</dcterms:modified>
</cp:coreProperties>
</file>